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042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<sst xmlns="http://schemas.openxmlformats.org/spreadsheetml/2006/main" count="215" uniqueCount="109">
  <si>
    <t>Relevés floristiques aquatiques - IBMR</t>
  </si>
  <si>
    <t>modèle Irstea-GIS</t>
  </si>
  <si>
    <t>SAGE</t>
  </si>
  <si>
    <t>C.Bernard S.Renahy</t>
  </si>
  <si>
    <t>Ain</t>
  </si>
  <si>
    <t>Ain à St Maurice de Gourdans</t>
  </si>
  <si>
    <t>06092000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</si>
  <si>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</si>
  <si>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</si>
  <si>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</si>
  <si>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</si>
  <si>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</si>
  <si>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</si>
  <si>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</si>
  <si>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</si>
  <si>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</si>
  <si>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</si>
  <si>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</si>
  <si>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pl. 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</si>
  <si>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</si>
  <si>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</si>
  <si>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</si>
  <si>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</si>
  <si>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</si>
  <si>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</si>
  <si>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</si>
  <si>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</si>
  <si>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</si>
  <si>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</si>
  <si>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</si>
  <si>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</si>
  <si>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</si>
  <si>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</si>
  <si>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</si>
  <si>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</si>
  <si>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</si>
  <si>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</si>
  <si>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</si>
  <si>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</si>
  <si>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</si>
  <si>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</si>
  <si>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</si>
  <si>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</si>
  <si>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</si>
  <si>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</si>
  <si>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</si>
  <si>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</si>
  <si>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</si>
  <si>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</si>
  <si>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</si>
  <si>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</si>
  <si>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</si>
  <si>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</si>
  <si>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</si>
  <si>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</si>
  <si>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</si>
  <si>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</si>
  <si>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</si>
  <si>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</si>
  <si>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</si>
  <si>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</si>
  <si>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</si>
  <si>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</si>
  <si>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</si>
  <si>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</si>
  <si>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</si>
  <si>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</si>
  <si>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</si>
  <si>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</si>
  <si>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</si>
  <si>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</si>
  <si>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</si>
  <si>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</si>
  <si>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</si>
  <si>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</si>
  <si>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</si>
  <si>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</si>
  <si>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</si>
  <si>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</si>
  <si>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</si>
  <si>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AUDSPX</t>
  </si>
  <si>
    <t xml:space="preserve"> -</t>
  </si>
  <si>
    <t>BANSPX</t>
  </si>
  <si>
    <t>CLASPX</t>
  </si>
  <si>
    <t>DIASPX</t>
  </si>
  <si>
    <t>HOMSPX</t>
  </si>
  <si>
    <t>MICSPX</t>
  </si>
  <si>
    <t>OEDSPX</t>
  </si>
  <si>
    <t>PHOSPX</t>
  </si>
  <si>
    <t>SPISPX</t>
  </si>
  <si>
    <t>TOYSPX</t>
  </si>
  <si>
    <t>ULOSPX</t>
  </si>
  <si>
    <t>VAUSPX</t>
  </si>
  <si>
    <t>FISCRA</t>
  </si>
  <si>
    <t>FONANT</t>
  </si>
  <si>
    <t>LEORIP</t>
  </si>
  <si>
    <t>RHYRIP</t>
  </si>
  <si>
    <t>GRODEN</t>
  </si>
  <si>
    <t>MYRSPI</t>
  </si>
  <si>
    <t>POTPER</t>
  </si>
  <si>
    <t>SCNLAC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</si>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</sst>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IGOU_30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10.333333333333334</v>
      </c>
      <c r="N5" s="50"/>
      <c r="O5" s="51" t="s">
        <v>16</v>
      </c>
      <c r="P5" s="52">
        <v>9.666666666666666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9.68421052631579</v>
      </c>
      <c r="P8" s="85">
        <f>IF(ISERROR(AVERAGE(K23:K82)),"  ",AVERAGE(K23:K82))</f>
        <v>1.736842105263158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3.23</v>
      </c>
      <c r="C9" s="88">
        <v>41.03</v>
      </c>
      <c r="D9" s="89"/>
      <c r="E9" s="89"/>
      <c r="F9" s="90">
        <f>($B9*$B$7+$C9*$C$7)/100</f>
        <v>10.79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2.7539948319897114</v>
      </c>
      <c r="P9" s="85">
        <f>IF(ISERROR(STDEVP(K23:K82)),"  ",STDEVP(K23:K82))</f>
        <v>0.5469634129164875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0.2</v>
      </c>
      <c r="C12" s="114">
        <v>10.59</v>
      </c>
      <c r="D12" s="89"/>
      <c r="E12" s="89"/>
      <c r="F12" s="106">
        <f>($B12*$B$7+$C12*$C$7)/100</f>
        <v>2.278</v>
      </c>
      <c r="G12" s="107"/>
      <c r="H12" s="56"/>
      <c r="I12" s="5"/>
      <c r="J12" s="108" t="s">
        <v>38</v>
      </c>
      <c r="K12" s="109"/>
      <c r="L12" s="110">
        <f>COUNTIF($G$23:$G$82,"=ALG")</f>
        <v>12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3.01</v>
      </c>
      <c r="C13" s="114">
        <v>30.31</v>
      </c>
      <c r="D13" s="89"/>
      <c r="E13" s="89"/>
      <c r="F13" s="106">
        <f>($B13*$B$7+$C13*$C$7)/100</f>
        <v>8.469999999999999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5</v>
      </c>
      <c r="M13" s="111"/>
      <c r="N13" s="120" t="s">
        <v>41</v>
      </c>
      <c r="O13" s="121">
        <f>COUNTIF(F23:F82,"&gt;0")</f>
        <v>21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0.02</v>
      </c>
      <c r="C15" s="128">
        <v>0.13</v>
      </c>
      <c r="D15" s="89"/>
      <c r="E15" s="89"/>
      <c r="F15" s="106">
        <f>($B15*$B$7+$C15*$C$7)/100</f>
        <v>0.042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4</v>
      </c>
      <c r="M15" s="111"/>
      <c r="N15" s="120" t="s">
        <v>47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3.23</v>
      </c>
      <c r="C17" s="114">
        <v>41.03</v>
      </c>
      <c r="D17" s="89"/>
      <c r="E17" s="89"/>
      <c r="F17" s="133"/>
      <c r="G17" s="134">
        <f>($B17*$B$7+$C17*$C$7)/100</f>
        <v>10.79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0.9047619047619048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10.79</v>
      </c>
      <c r="G19" s="157">
        <f>SUM(G16:G18)</f>
        <v>10.79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3.2394999999999996</v>
      </c>
      <c r="C20" s="167">
        <f>SUM(C23:C62)</f>
        <v>41.03</v>
      </c>
      <c r="D20" s="168"/>
      <c r="E20" s="169" t="s">
        <v>54</v>
      </c>
      <c r="F20" s="170">
        <f>($B20*$B$7+$C20*$C$7)/100</f>
        <v>10.7976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2.5915999999999997</v>
      </c>
      <c r="C21" s="178">
        <f>C20*C7/100</f>
        <v>8.206</v>
      </c>
      <c r="D21" s="179" t="s">
        <v>58</v>
      </c>
      <c r="E21" s="180"/>
      <c r="F21" s="181">
        <f>B21+C21</f>
        <v>10.7976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0.02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Audouinella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0.018000000000000002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Audouinella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6076</v>
      </c>
      <c r="R23" s="219">
        <f>IF(ISTEXT(H23),"",(B23*$B$7/100)+(C23*$C$7/100))</f>
        <v>0.018000000000000002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13</v>
      </c>
      <c r="U23" s="220">
        <f>IF(ISERROR(S23*J23*K23),0,S23*J23*K23)</f>
        <v>26</v>
      </c>
      <c r="V23" s="220">
        <f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AUDSPX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7</v>
      </c>
    </row>
    <row r="24" spans="1:26" ht="12.75">
      <c r="A24" s="224" t="s">
        <v>82</v>
      </c>
      <c r="B24" s="225">
        <v>0.01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Bangia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Bangia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1153</v>
      </c>
      <c r="R24" s="219">
        <f>IF(ISTEXT(H24),"",(B24*$B$7/100)+(C24*$C$7/100))</f>
        <v>0.01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10</v>
      </c>
      <c r="U24" s="220">
        <f>IF(ISERROR(S24*J24*K24),0,S24*J24*K24)</f>
        <v>20</v>
      </c>
      <c r="V24" s="236">
        <f>IF(ISERROR(S24*K24),0,S24*K24)</f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BANSPX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9</v>
      </c>
    </row>
    <row r="25" spans="1:26" ht="12.75">
      <c r="A25" s="224" t="s">
        <v>83</v>
      </c>
      <c r="B25" s="225">
        <v>0.11</v>
      </c>
      <c r="C25" s="226">
        <v>0.157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Cladophora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0.1194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Cladophora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1124</v>
      </c>
      <c r="R25" s="219">
        <f>IF(ISTEXT(H25),"",(B25*$B$7/100)+(C25*$C$7/100))</f>
        <v>0.1194</v>
      </c>
      <c r="S25" s="220">
        <f>IF(OR(ISTEXT(H25),R25=0),"",IF(R25&lt;0.1,1,IF(R25&lt;1,2,IF(R25&lt;10,3,IF(R25&lt;50,4,IF(R25&gt;=50,5,""))))))</f>
        <v>2</v>
      </c>
      <c r="T25" s="220">
        <f>IF(ISERROR(S25*J25),0,S25*J25)</f>
        <v>12</v>
      </c>
      <c r="U25" s="220">
        <f>IF(ISERROR(S25*J25*K25),0,S25*J25*K25)</f>
        <v>12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CLASPX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35</v>
      </c>
    </row>
    <row r="26" spans="1:26" ht="12.75">
      <c r="A26" s="224" t="s">
        <v>84</v>
      </c>
      <c r="B26" s="225">
        <v>0</v>
      </c>
      <c r="C26" s="226">
        <v>0.10000000000000002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Diatoma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0.020000000000000004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Diatoma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6627</v>
      </c>
      <c r="R26" s="219">
        <f>IF(ISTEXT(H26),"",(B26*$B$7/100)+(C26*$C$7/100))</f>
        <v>0.020000000000000004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12</v>
      </c>
      <c r="U26" s="220">
        <f>IF(ISERROR(S26*J26*K26),0,S26*J26*K26)</f>
        <v>24</v>
      </c>
      <c r="V26" s="236">
        <f>IF(ISERROR(S26*K26),0,S26*K26)</f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DIASPX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40</v>
      </c>
    </row>
    <row r="27" spans="1:26" ht="12.75">
      <c r="A27" s="224" t="s">
        <v>85</v>
      </c>
      <c r="B27" s="225">
        <v>0.01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Homoeothrix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nc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nc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Homoeothrix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6395</v>
      </c>
      <c r="R27" s="219">
        <f>IF(ISTEXT(H27),"",(B27*$B$7/100)+(C27*$C$7/100))</f>
        <v>0.01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0</v>
      </c>
      <c r="U27" s="220">
        <f>IF(ISERROR(S27*J27*K27),0,S27*J27*K27)</f>
        <v>0</v>
      </c>
      <c r="V27" s="236">
        <f>IF(ISERROR(S27*K27),0,S27*K27)</f>
        <v>0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HOMSPX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54</v>
      </c>
    </row>
    <row r="28" spans="1:26" ht="12.75">
      <c r="A28" s="224" t="s">
        <v>86</v>
      </c>
      <c r="B28" s="225">
        <v>0</v>
      </c>
      <c r="C28" s="226">
        <v>0.002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Microspora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0.0004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Microspora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1132</v>
      </c>
      <c r="R28" s="219">
        <f>IF(ISTEXT(H28),"",(B28*$B$7/100)+(C28*$C$7/100))</f>
        <v>0.0004</v>
      </c>
      <c r="S28" s="220">
        <f>IF(OR(ISTEXT(H28),R28=0),"",IF(R28&lt;0.1,1,IF(R28&lt;1,2,IF(R28&lt;10,3,IF(R28&lt;50,4,IF(R28&gt;=50,5,""))))))</f>
        <v>1</v>
      </c>
      <c r="T28" s="220">
        <f>IF(ISERROR(S28*J28),0,S28*J28)</f>
        <v>12</v>
      </c>
      <c r="U28" s="220">
        <f>IF(ISERROR(S28*J28*K28),0,S28*J28*K28)</f>
        <v>24</v>
      </c>
      <c r="V28" s="236">
        <f>IF(ISERROR(S28*K28),0,S28*K28)</f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MICSPX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66</v>
      </c>
    </row>
    <row r="29" spans="1:26" ht="12.75">
      <c r="A29" s="224" t="s">
        <v>87</v>
      </c>
      <c r="B29" s="225">
        <v>0.01</v>
      </c>
      <c r="C29" s="226">
        <v>0.060000000000000005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Oedogonium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0.02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6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Oedogonium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1134</v>
      </c>
      <c r="R29" s="219">
        <f>IF(ISTEXT(H29),"",(B29*$B$7/100)+(C29*$C$7/100))</f>
        <v>0.020000000000000004</v>
      </c>
      <c r="S29" s="220">
        <f>IF(OR(ISTEXT(H29),R29=0),"",IF(R29&lt;0.1,1,IF(R29&lt;1,2,IF(R29&lt;10,3,IF(R29&lt;50,4,IF(R29&gt;=50,5,""))))))</f>
        <v>1</v>
      </c>
      <c r="T29" s="220">
        <f>IF(ISERROR(S29*J29),0,S29*J29)</f>
        <v>6</v>
      </c>
      <c r="U29" s="220">
        <f>IF(ISERROR(S29*J29*K29),0,S29*J29*K29)</f>
        <v>12</v>
      </c>
      <c r="V29" s="236">
        <f>IF(ISERROR(S29*K29),0,S29*K29)</f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OEDSPX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85</v>
      </c>
    </row>
    <row r="30" spans="1:26" ht="12.75">
      <c r="A30" s="224" t="s">
        <v>88</v>
      </c>
      <c r="B30" s="225">
        <v>0.01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Phormidium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0.008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13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Phormidium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6414</v>
      </c>
      <c r="R30" s="219">
        <f>IF(ISTEXT(H30),"",(B30*$B$7/100)+(C30*$C$7/100))</f>
        <v>0.008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13</v>
      </c>
      <c r="U30" s="220">
        <f>IF(ISERROR(S30*J30*K30),0,S30*J30*K30)</f>
        <v>26</v>
      </c>
      <c r="V30" s="236">
        <f>IF(ISERROR(S30*K30),0,S30*K30)</f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PHOSPX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88</v>
      </c>
    </row>
    <row r="31" spans="1:26" ht="12.75">
      <c r="A31" s="224" t="s">
        <v>89</v>
      </c>
      <c r="B31" s="225">
        <v>0.02</v>
      </c>
      <c r="C31" s="226">
        <v>10.01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Spirogyra sp.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2.018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Spirogyra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1147</v>
      </c>
      <c r="R31" s="219">
        <f>IF(ISTEXT(H31),"",(B31*$B$7/100)+(C31*$C$7/100))</f>
        <v>2.018</v>
      </c>
      <c r="S31" s="220">
        <f>IF(OR(ISTEXT(H31),R31=0),"",IF(R31&lt;0.1,1,IF(R31&lt;1,2,IF(R31&lt;10,3,IF(R31&lt;50,4,IF(R31&gt;=50,5,""))))))</f>
        <v>3</v>
      </c>
      <c r="T31" s="220">
        <f>IF(ISERROR(S31*J31),0,S31*J31)</f>
        <v>30</v>
      </c>
      <c r="U31" s="220">
        <f>IF(ISERROR(S31*J31*K31),0,S31*J31*K31)</f>
        <v>30</v>
      </c>
      <c r="V31" s="236">
        <f>IF(ISERROR(S31*K31),0,S31*K31)</f>
        <v>3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102</v>
      </c>
    </row>
    <row r="32" spans="1:26" ht="12.75">
      <c r="A32" s="224" t="s">
        <v>90</v>
      </c>
      <c r="B32" s="225">
        <v>0.01</v>
      </c>
      <c r="C32" s="226">
        <v>0.02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Tolypothrix sp.</v>
      </c>
      <c r="E32" s="228" t="e">
        <f>IF(D32="",,VLOOKUP(D32,D$22:D31,1,0))</f>
        <v>#N/A</v>
      </c>
      <c r="F32" s="229">
        <f>IF(AND(OR(A32="",A32="!!!!!!"),B32="",C32=""),"",IF(OR(AND(B32="",C32=""),ISERROR(C32+B32)),"!!!",($B32*$B$7+$C32*$C$7)/100))</f>
        <v>0.012000000000000002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ALG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2</v>
      </c>
      <c r="I32" s="5">
        <f>IF(A32="","",1)</f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Tolypothrix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6304</v>
      </c>
      <c r="R32" s="219">
        <f>IF(ISTEXT(H32),"",(B32*$B$7/100)+(C32*$C$7/100))</f>
        <v>0.012</v>
      </c>
      <c r="S32" s="220">
        <f>IF(OR(ISTEXT(H32),R32=0),"",IF(R32&lt;0.1,1,IF(R32&lt;1,2,IF(R32&lt;10,3,IF(R32&lt;50,4,IF(R32&gt;=50,5,""))))))</f>
        <v>1</v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TOYSPX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113</v>
      </c>
    </row>
    <row r="33" spans="1:26" ht="12.75">
      <c r="A33" s="224" t="s">
        <v>91</v>
      </c>
      <c r="B33" s="225">
        <v>0</v>
      </c>
      <c r="C33" s="226">
        <v>0.021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Ulothrix sp.</v>
      </c>
      <c r="E33" s="228" t="e">
        <f>IF(D33="",,VLOOKUP(D33,D$22:D32,1,0))</f>
        <v>#N/A</v>
      </c>
      <c r="F33" s="229">
        <f>IF(AND(OR(A33="",A33="!!!!!!"),B33="",C33=""),"",IF(OR(AND(B33="",C33=""),ISERROR(C33+B33)),"!!!",($B33*$B$7+$C33*$C$7)/100))</f>
        <v>0.004200000000000001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ALG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2</v>
      </c>
      <c r="I33" s="5">
        <f>IF(A33="","",1)</f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10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Ulothrix sp.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1142</v>
      </c>
      <c r="R33" s="219">
        <f>IF(ISTEXT(H33),"",(B33*$B$7/100)+(C33*$C$7/100))</f>
        <v>0.004200000000000001</v>
      </c>
      <c r="S33" s="220">
        <f>IF(OR(ISTEXT(H33),R33=0),"",IF(R33&lt;0.1,1,IF(R33&lt;1,2,IF(R33&lt;10,3,IF(R33&lt;50,4,IF(R33&gt;=50,5,""))))))</f>
        <v>1</v>
      </c>
      <c r="T33" s="220">
        <f>IF(ISERROR(S33*J33),0,S33*J33)</f>
        <v>10</v>
      </c>
      <c r="U33" s="220">
        <f>IF(ISERROR(S33*J33*K33),0,S33*J33*K33)</f>
        <v>10</v>
      </c>
      <c r="V33" s="236">
        <f>IF(ISERROR(S33*K33),0,S33*K33)</f>
        <v>1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ULOSPX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116</v>
      </c>
    </row>
    <row r="34" spans="1:26" ht="12.75">
      <c r="A34" s="224" t="s">
        <v>92</v>
      </c>
      <c r="B34" s="225">
        <v>0.0095</v>
      </c>
      <c r="C34" s="226">
        <v>0.19000000000000003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Vaucheria sp.</v>
      </c>
      <c r="E34" s="228" t="e">
        <f>IF(D34="",,VLOOKUP(D34,D$22:D33,1,0))</f>
        <v>#N/A</v>
      </c>
      <c r="F34" s="229">
        <f>IF(AND(OR(A34="",A34="!!!!!!"),B34="",C34=""),"",IF(OR(AND(B34="",C34=""),ISERROR(C34+B34)),"!!!",($B34*$B$7+$C34*$C$7)/100))</f>
        <v>0.0456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ALG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2</v>
      </c>
      <c r="I34" s="5">
        <f>IF(A34="","",1)</f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4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Vaucheria sp.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1169</v>
      </c>
      <c r="R34" s="219">
        <f>IF(ISTEXT(H34),"",(B34*$B$7/100)+(C34*$C$7/100))</f>
        <v>0.04560000000000001</v>
      </c>
      <c r="S34" s="220">
        <f>IF(OR(ISTEXT(H34),R34=0),"",IF(R34&lt;0.1,1,IF(R34&lt;1,2,IF(R34&lt;10,3,IF(R34&lt;50,4,IF(R34&gt;=50,5,""))))))</f>
        <v>1</v>
      </c>
      <c r="T34" s="220">
        <f>IF(ISERROR(S34*J34),0,S34*J34)</f>
        <v>4</v>
      </c>
      <c r="U34" s="220">
        <f>IF(ISERROR(S34*J34*K34),0,S34*J34*K34)</f>
        <v>4</v>
      </c>
      <c r="V34" s="236">
        <f>IF(ISERROR(S34*K34),0,S34*K34)</f>
        <v>1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VAUSPX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118</v>
      </c>
    </row>
    <row r="35" spans="1:26" ht="12.75">
      <c r="A35" s="224" t="s">
        <v>16</v>
      </c>
      <c r="B35" s="225">
        <v>1.3</v>
      </c>
      <c r="C35" s="226">
        <v>10.1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Cinclidotus danubicus</v>
      </c>
      <c r="E35" s="228" t="e">
        <f>IF(D35="",,VLOOKUP(D35,D$22:D34,1,0))</f>
        <v>#N/A</v>
      </c>
      <c r="F35" s="229">
        <f>IF(AND(OR(A35="",A35="!!!!!!"),B35="",C35=""),"",IF(OR(AND(B35="",C35=""),ISERROR(C35+B35)),"!!!",($B35*$B$7+$C35*$C$7)/100))</f>
        <v>3.06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>IF(A35="","",1)</f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13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3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Cinclidotus danubicus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1319</v>
      </c>
      <c r="R35" s="219">
        <f>IF(ISTEXT(H35),"",(B35*$B$7/100)+(C35*$C$7/100))</f>
        <v>3.06</v>
      </c>
      <c r="S35" s="220">
        <f>IF(OR(ISTEXT(H35),R35=0),"",IF(R35&lt;0.1,1,IF(R35&lt;1,2,IF(R35&lt;10,3,IF(R35&lt;50,4,IF(R35&gt;=50,5,""))))))</f>
        <v>3</v>
      </c>
      <c r="T35" s="220">
        <f>IF(ISERROR(S35*J35),0,S35*J35)</f>
        <v>39</v>
      </c>
      <c r="U35" s="220">
        <f>IF(ISERROR(S35*J35*K35),0,S35*J35*K35)</f>
        <v>117</v>
      </c>
      <c r="V35" s="236">
        <f>IF(ISERROR(S35*K35),0,S35*K35)</f>
        <v>9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CINDAN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222</v>
      </c>
    </row>
    <row r="36" spans="1:26" ht="12.75">
      <c r="A36" s="224" t="s">
        <v>93</v>
      </c>
      <c r="B36" s="225">
        <v>0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Fissidens crassipes</v>
      </c>
      <c r="E36" s="228" t="e">
        <f>IF(D36="",,VLOOKUP(D36,D$22:D35,1,0))</f>
        <v>#N/A</v>
      </c>
      <c r="F36" s="229">
        <f>IF(AND(OR(A36="",A36="!!!!!!"),B36="",C36=""),"",IF(OR(AND(B36="",C36=""),ISERROR(C36+B36)),"!!!",($B36*$B$7+$C36*$C$7)/100))</f>
        <v>0.002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>IF(A36="","",1)</f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12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Fissidens crassipes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1294</v>
      </c>
      <c r="R36" s="219">
        <f>IF(ISTEXT(H36),"",(B36*$B$7/100)+(C36*$C$7/100))</f>
        <v>0.002</v>
      </c>
      <c r="S36" s="220">
        <f>IF(OR(ISTEXT(H36),R36=0),"",IF(R36&lt;0.1,1,IF(R36&lt;1,2,IF(R36&lt;10,3,IF(R36&lt;50,4,IF(R36&gt;=50,5,""))))))</f>
        <v>1</v>
      </c>
      <c r="T36" s="220">
        <f>IF(ISERROR(S36*J36),0,S36*J36)</f>
        <v>12</v>
      </c>
      <c r="U36" s="220">
        <f>IF(ISERROR(S36*J36*K36),0,S36*J36*K36)</f>
        <v>24</v>
      </c>
      <c r="V36" s="236">
        <f>IF(ISERROR(S36*K36),0,S36*K36)</f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FISCRA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255</v>
      </c>
    </row>
    <row r="37" spans="1:26" ht="12.75">
      <c r="A37" s="224" t="s">
        <v>94</v>
      </c>
      <c r="B37" s="225">
        <v>1.5000000000000002</v>
      </c>
      <c r="C37" s="226">
        <v>20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Fontinalis antipyretica</v>
      </c>
      <c r="E37" s="228" t="e">
        <f>IF(D37="",,VLOOKUP(D37,D$22:D36,1,0))</f>
        <v>#N/A</v>
      </c>
      <c r="F37" s="229">
        <f>IF(AND(OR(A37="",A37="!!!!!!"),B37="",C37=""),"",IF(OR(AND(B37="",C37=""),ISERROR(C37+B37)),"!!!",($B37*$B$7+$C37*$C$7)/100))</f>
        <v>5.2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>IF(A37="","",1)</f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10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1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Fontinalis antipyretica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1310</v>
      </c>
      <c r="R37" s="219">
        <f>IF(ISTEXT(H37),"",(B37*$B$7/100)+(C37*$C$7/100))</f>
        <v>5.2</v>
      </c>
      <c r="S37" s="220">
        <f>IF(OR(ISTEXT(H37),R37=0),"",IF(R37&lt;0.1,1,IF(R37&lt;1,2,IF(R37&lt;10,3,IF(R37&lt;50,4,IF(R37&gt;=50,5,""))))))</f>
        <v>3</v>
      </c>
      <c r="T37" s="220">
        <f>IF(ISERROR(S37*J37),0,S37*J37)</f>
        <v>30</v>
      </c>
      <c r="U37" s="220">
        <f>IF(ISERROR(S37*J37*K37),0,S37*J37*K37)</f>
        <v>30</v>
      </c>
      <c r="V37" s="236">
        <f>IF(ISERROR(S37*K37),0,S37*K37)</f>
        <v>3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FONANT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273</v>
      </c>
    </row>
    <row r="38" spans="1:26" ht="12.75">
      <c r="A38" s="224" t="s">
        <v>95</v>
      </c>
      <c r="B38" s="225">
        <v>0.01</v>
      </c>
      <c r="C38" s="226">
        <v>0.20000000000000004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Leptodictyum riparium </v>
      </c>
      <c r="E38" s="228" t="e">
        <f>IF(D38="",,VLOOKUP(D38,D$22:D37,1,0))</f>
        <v>#N/A</v>
      </c>
      <c r="F38" s="229">
        <f>IF(AND(OR(A38="",A38="!!!!!!"),B38="",C38=""),"",IF(OR(AND(B38="",C38=""),ISERROR(C38+B38)),"!!!",($B38*$B$7+$C38*$C$7)/100))</f>
        <v>0.04800000000000001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>IF(A38="","",1)</f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5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Leptodictyum riparium 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1244</v>
      </c>
      <c r="R38" s="219">
        <f>IF(ISTEXT(H38),"",(B38*$B$7/100)+(C38*$C$7/100))</f>
        <v>0.04800000000000001</v>
      </c>
      <c r="S38" s="220">
        <f>IF(OR(ISTEXT(H38),R38=0),"",IF(R38&lt;0.1,1,IF(R38&lt;1,2,IF(R38&lt;10,3,IF(R38&lt;50,4,IF(R38&gt;=50,5,""))))))</f>
        <v>1</v>
      </c>
      <c r="T38" s="220">
        <f>IF(ISERROR(S38*J38),0,S38*J38)</f>
        <v>5</v>
      </c>
      <c r="U38" s="220">
        <f>IF(ISERROR(S38*J38*K38),0,S38*J38*K38)</f>
        <v>10</v>
      </c>
      <c r="V38" s="236">
        <f>IF(ISERROR(S38*K38),0,S38*K38)</f>
        <v>2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LEORIP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298</v>
      </c>
    </row>
    <row r="39" spans="1:26" ht="12.75">
      <c r="A39" s="224" t="s">
        <v>96</v>
      </c>
      <c r="B39" s="225">
        <v>0.20000000000000004</v>
      </c>
      <c r="C39" s="226">
        <v>0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Rhynchostegium riparioides</v>
      </c>
      <c r="E39" s="228" t="e">
        <f>IF(D39="",,VLOOKUP(D39,D$22:D38,1,0))</f>
        <v>#N/A</v>
      </c>
      <c r="F39" s="229">
        <f>IF(AND(OR(A39="",A39="!!!!!!"),B39="",C39=""),"",IF(OR(AND(B39="",C39=""),ISERROR(C39+B39)),"!!!",($B39*$B$7+$C39*$C$7)/100))</f>
        <v>0.16000000000000003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BRm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5</v>
      </c>
      <c r="I39" s="5">
        <f>IF(A39="","",1)</f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12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1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Rhynchostegium riparioides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31691</v>
      </c>
      <c r="R39" s="219">
        <f>IF(ISTEXT(H39),"",(B39*$B$7/100)+(C39*$C$7/100))</f>
        <v>0.16000000000000003</v>
      </c>
      <c r="S39" s="220">
        <f>IF(OR(ISTEXT(H39),R39=0),"",IF(R39&lt;0.1,1,IF(R39&lt;1,2,IF(R39&lt;10,3,IF(R39&lt;50,4,IF(R39&gt;=50,5,""))))))</f>
        <v>2</v>
      </c>
      <c r="T39" s="220">
        <f>IF(ISERROR(S39*J39),0,S39*J39)</f>
        <v>24</v>
      </c>
      <c r="U39" s="220">
        <f>IF(ISERROR(S39*J39*K39),0,S39*J39*K39)</f>
        <v>24</v>
      </c>
      <c r="V39" s="236">
        <f>IF(ISERROR(S39*K39),0,S39*K39)</f>
        <v>2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RHYRIP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345</v>
      </c>
    </row>
    <row r="40" spans="1:26" ht="12.75">
      <c r="A40" s="224" t="s">
        <v>97</v>
      </c>
      <c r="B40" s="225">
        <v>0</v>
      </c>
      <c r="C40" s="226">
        <v>0.01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Groenlandia densa</v>
      </c>
      <c r="E40" s="228" t="e">
        <f>IF(D40="",,VLOOKUP(D40,D$22:D39,1,0))</f>
        <v>#N/A</v>
      </c>
      <c r="F40" s="229">
        <f>IF(AND(OR(A40="",A40="!!!!!!"),B40="",C40=""),"",IF(OR(AND(B40="",C40=""),ISERROR(C40+B40)),"!!!",($B40*$B$7+$C40*$C$7)/100))</f>
        <v>0.002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PHy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7</v>
      </c>
      <c r="I40" s="5">
        <f>IF(A40="","",1)</f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11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Groenlandia densa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1638</v>
      </c>
      <c r="R40" s="219">
        <f>IF(ISTEXT(H40),"",(B40*$B$7/100)+(C40*$C$7/100))</f>
        <v>0.002</v>
      </c>
      <c r="S40" s="220">
        <f>IF(OR(ISTEXT(H40),R40=0),"",IF(R40&lt;0.1,1,IF(R40&lt;1,2,IF(R40&lt;10,3,IF(R40&lt;50,4,IF(R40&gt;=50,5,""))))))</f>
        <v>1</v>
      </c>
      <c r="T40" s="220">
        <f>IF(ISERROR(S40*J40),0,S40*J40)</f>
        <v>11</v>
      </c>
      <c r="U40" s="220">
        <f>IF(ISERROR(S40*J40*K40),0,S40*J40*K40)</f>
        <v>22</v>
      </c>
      <c r="V40" s="236">
        <f>IF(ISERROR(S40*K40),0,S40*K40)</f>
        <v>2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GRODEN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458</v>
      </c>
    </row>
    <row r="41" spans="1:26" ht="12.75">
      <c r="A41" s="224" t="s">
        <v>98</v>
      </c>
      <c r="B41" s="225">
        <v>0.01</v>
      </c>
      <c r="C41" s="226">
        <v>0.10000000000000002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Myriophyllum spicatum</v>
      </c>
      <c r="E41" s="228" t="e">
        <f>IF(D41="",,VLOOKUP(D41,D$22:D40,1,0))</f>
        <v>#N/A</v>
      </c>
      <c r="F41" s="229">
        <f>IF(AND(OR(A41="",A41="!!!!!!"),B41="",C41=""),"",IF(OR(AND(B41="",C41=""),ISERROR(C41+B41)),"!!!",($B41*$B$7+$C41*$C$7)/100))</f>
        <v>0.028000000000000008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PHy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7</v>
      </c>
      <c r="I41" s="5">
        <f>IF(A41="","",1)</f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8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2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Myriophyllum spicatum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1778</v>
      </c>
      <c r="R41" s="219">
        <f>IF(ISTEXT(H41),"",(B41*$B$7/100)+(C41*$C$7/100))</f>
        <v>0.028000000000000004</v>
      </c>
      <c r="S41" s="220">
        <f>IF(OR(ISTEXT(H41),R41=0),"",IF(R41&lt;0.1,1,IF(R41&lt;1,2,IF(R41&lt;10,3,IF(R41&lt;50,4,IF(R41&gt;=50,5,""))))))</f>
        <v>1</v>
      </c>
      <c r="T41" s="220">
        <f>IF(ISERROR(S41*J41),0,S41*J41)</f>
        <v>8</v>
      </c>
      <c r="U41" s="220">
        <f>IF(ISERROR(S41*J41*K41),0,S41*J41*K41)</f>
        <v>16</v>
      </c>
      <c r="V41" s="236">
        <f>IF(ISERROR(S41*K41),0,S41*K41)</f>
        <v>2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MYRSPI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486</v>
      </c>
    </row>
    <row r="42" spans="1:26" ht="12.75">
      <c r="A42" s="224" t="s">
        <v>99</v>
      </c>
      <c r="B42" s="225">
        <v>0.01</v>
      </c>
      <c r="C42" s="226">
        <v>0.01</v>
      </c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Potamogeton perfoliatus</v>
      </c>
      <c r="E42" s="228" t="e">
        <f>IF(D42="",,VLOOKUP(D42,D$22:D41,1,0))</f>
        <v>#N/A</v>
      </c>
      <c r="F42" s="229">
        <f>IF(AND(OR(A42="",A42="!!!!!!"),B42="",C42=""),"",IF(OR(AND(B42="",C42=""),ISERROR(C42+B42)),"!!!",($B42*$B$7+$C42*$C$7)/100))</f>
        <v>0.01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PHy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7</v>
      </c>
      <c r="I42" s="5">
        <f>IF(A42="","",1)</f>
        <v>1</v>
      </c>
      <c r="J42" s="232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9</v>
      </c>
      <c r="K42" s="232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2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Potamogeton perfoliatus</v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1656</v>
      </c>
      <c r="R42" s="219">
        <f>IF(ISTEXT(H42),"",(B42*$B$7/100)+(C42*$C$7/100))</f>
        <v>0.01</v>
      </c>
      <c r="S42" s="220">
        <f>IF(OR(ISTEXT(H42),R42=0),"",IF(R42&lt;0.1,1,IF(R42&lt;1,2,IF(R42&lt;10,3,IF(R42&lt;50,4,IF(R42&gt;=50,5,""))))))</f>
        <v>1</v>
      </c>
      <c r="T42" s="220">
        <f>IF(ISERROR(S42*J42),0,S42*J42)</f>
        <v>9</v>
      </c>
      <c r="U42" s="220">
        <f>IF(ISERROR(S42*J42*K42),0,S42*J42*K42)</f>
        <v>18</v>
      </c>
      <c r="V42" s="236">
        <f>IF(ISERROR(S42*K42),0,S42*K42)</f>
        <v>2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POTPER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533</v>
      </c>
    </row>
    <row r="43" spans="1:26" ht="12.75">
      <c r="A43" s="224" t="s">
        <v>100</v>
      </c>
      <c r="B43" s="225">
        <v>0</v>
      </c>
      <c r="C43" s="226">
        <v>0.01</v>
      </c>
      <c r="D43" s="227" t="str">
        <f>IF(ISERROR(VLOOKUP($A43,'[1]liste reference'!$A$6:$B$1174,2,0)),IF(ISERROR(VLOOKUP($A43,'[1]liste reference'!$B$6:$B$1174,1,0)),"",VLOOKUP($A43,'[1]liste reference'!$B$6:$B$1174,1,0)),VLOOKUP($A43,'[1]liste reference'!$A$6:$B$1174,2,0))</f>
        <v>Schoenoplectus lacustris</v>
      </c>
      <c r="E43" s="228" t="e">
        <f>IF(D43="",,VLOOKUP(D43,D$22:D42,1,0))</f>
        <v>#N/A</v>
      </c>
      <c r="F43" s="229">
        <f>IF(AND(OR(A43="",A43="!!!!!!"),B43="",C43=""),"",IF(OR(AND(B43="",C43=""),ISERROR(C43+B43)),"!!!",($B43*$B$7+$C43*$C$7)/100))</f>
        <v>0.002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PHe</v>
      </c>
      <c r="H43" s="231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8</v>
      </c>
      <c r="I43" s="5">
        <f>IF(A43="","",1)</f>
        <v>1</v>
      </c>
      <c r="J43" s="232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8</v>
      </c>
      <c r="K43" s="232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2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Schoenoplectus lacustris</v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31026</v>
      </c>
      <c r="R43" s="219">
        <f>IF(ISTEXT(H43),"",(B43*$B$7/100)+(C43*$C$7/100))</f>
        <v>0.002</v>
      </c>
      <c r="S43" s="220">
        <f>IF(OR(ISTEXT(H43),R43=0),"",IF(R43&lt;0.1,1,IF(R43&lt;1,2,IF(R43&lt;10,3,IF(R43&lt;50,4,IF(R43&gt;=50,5,""))))))</f>
        <v>1</v>
      </c>
      <c r="T43" s="220">
        <f>IF(ISERROR(S43*J43),0,S43*J43)</f>
        <v>8</v>
      </c>
      <c r="U43" s="220">
        <f>IF(ISERROR(S43*J43*K43),0,S43*J43*K43)</f>
        <v>16</v>
      </c>
      <c r="V43" s="236">
        <f>IF(ISERROR(S43*K43),0,S43*K43)</f>
        <v>2</v>
      </c>
      <c r="W43" s="237"/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SCNLAC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  <v>722</v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10.797600000000001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45</v>
      </c>
      <c r="W83" s="220"/>
      <c r="X83" s="258"/>
      <c r="Y83" s="258"/>
      <c r="Z83" s="259"/>
    </row>
    <row r="84" spans="1:26" ht="12.75" hidden="1">
      <c r="A84" s="253" t="str">
        <f>A3</f>
        <v>Ain</v>
      </c>
      <c r="B84" s="187" t="str">
        <f>C3</f>
        <v>Ain à St Maurice de Gourdans</v>
      </c>
      <c r="C84" s="260" t="str">
        <f>A4</f>
        <v>(Date)</v>
      </c>
      <c r="D84" s="261">
        <f>IF(OR(ISERROR(SUM($U$23:$U$82)/SUM($V$23:$V$82)),F7&lt;&gt;100),-1,SUM($U$23:$U$82)/SUM($V$23:$V$82))</f>
        <v>10.333333333333334</v>
      </c>
      <c r="E84" s="262">
        <f>O13</f>
        <v>21</v>
      </c>
      <c r="F84" s="187">
        <f>O14</f>
        <v>19</v>
      </c>
      <c r="G84" s="187">
        <f>O15</f>
        <v>6</v>
      </c>
      <c r="H84" s="187">
        <f>O16</f>
        <v>12</v>
      </c>
      <c r="I84" s="187">
        <f>O17</f>
        <v>1</v>
      </c>
      <c r="J84" s="263">
        <f>O8</f>
        <v>9.68421052631579</v>
      </c>
      <c r="K84" s="264">
        <f>O9</f>
        <v>2.7539948319897114</v>
      </c>
      <c r="L84" s="265">
        <f>O10</f>
        <v>4</v>
      </c>
      <c r="M84" s="265">
        <f>O11</f>
        <v>13</v>
      </c>
      <c r="N84" s="264">
        <f>P8</f>
        <v>1.736842105263158</v>
      </c>
      <c r="O84" s="264">
        <f>P9</f>
        <v>0.5469634129164875</v>
      </c>
      <c r="P84" s="265">
        <f>P10</f>
        <v>1</v>
      </c>
      <c r="Q84" s="265">
        <f>P11</f>
        <v>3</v>
      </c>
      <c r="R84" s="265">
        <f>F21</f>
        <v>10.7976</v>
      </c>
      <c r="S84" s="265">
        <f>L11</f>
        <v>0</v>
      </c>
      <c r="T84" s="265">
        <f>L12</f>
        <v>12</v>
      </c>
      <c r="U84" s="265">
        <f>L13</f>
        <v>5</v>
      </c>
      <c r="V84" s="266">
        <f>L15</f>
        <v>4</v>
      </c>
      <c r="W84" s="267">
        <f>L15</f>
        <v>4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101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102</v>
      </c>
      <c r="S87" s="5"/>
      <c r="T87" s="272">
        <f>VLOOKUP($T$91,($A$23:$U$82),20,FALSE)</f>
        <v>39</v>
      </c>
      <c r="U87" s="5"/>
      <c r="V87" s="5"/>
    </row>
    <row r="88" spans="3:22" ht="12.75" hidden="1">
      <c r="C88" s="269"/>
      <c r="D88" s="269"/>
      <c r="E88" s="269"/>
      <c r="R88" s="5" t="s">
        <v>103</v>
      </c>
      <c r="S88" s="5"/>
      <c r="T88" s="272">
        <f>VLOOKUP($T$91,($A$23:$U$82),21,FALSE)</f>
        <v>117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104</v>
      </c>
      <c r="S89" s="5"/>
      <c r="T89" s="272">
        <f>MAX($V$23:$V$82)</f>
        <v>9</v>
      </c>
      <c r="U89" s="5"/>
    </row>
    <row r="90" spans="3:21" ht="12.75" hidden="1">
      <c r="C90" s="269"/>
      <c r="D90" s="269"/>
      <c r="E90" s="269"/>
      <c r="R90" s="5" t="s">
        <v>105</v>
      </c>
      <c r="S90" s="5" t="s">
        <v>10</v>
      </c>
      <c r="T90" s="273">
        <f>IF(OR(ISERROR(SUM($U$23:$U$82)/SUM($V$23:$V$82)),F7&lt;&gt;100),-1,(SUM($U$23:$U$82)-T88)/(SUM($V$23:$V$82)-T89))</f>
        <v>9.666666666666666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106</v>
      </c>
      <c r="S91" s="220"/>
      <c r="T91" s="220" t="str">
        <f>INDEX('[1]liste reference'!$A$6:$A$1174,$U$91)</f>
        <v>CINDAN</v>
      </c>
      <c r="U91" s="5">
        <f>IF(ISERROR(MATCH($T$93,'[1]liste reference'!$A$6:$A$1174,0)),MATCH($T$93,'[1]liste reference'!$B$6:$B$1174,0),(MATCH($T$93,'[1]liste reference'!$A$6:$A$1174,0)))</f>
        <v>222</v>
      </c>
      <c r="V91" s="274"/>
    </row>
    <row r="92" spans="3:21" ht="12.75" hidden="1">
      <c r="C92" s="269"/>
      <c r="D92" s="269"/>
      <c r="E92" s="269"/>
      <c r="R92" s="5" t="s">
        <v>107</v>
      </c>
      <c r="S92" s="5"/>
      <c r="T92" s="5">
        <f>MATCH(T89,$V$23:$V$82,0)</f>
        <v>13</v>
      </c>
      <c r="U92" s="5"/>
    </row>
    <row r="93" spans="3:21" ht="12.75" hidden="1">
      <c r="C93" s="269"/>
      <c r="D93" s="269"/>
      <c r="E93" s="269"/>
      <c r="R93" s="220" t="s">
        <v>108</v>
      </c>
      <c r="S93" s="5"/>
      <c r="T93" s="220" t="str">
        <f>INDEX($A$23:$A$82,$T$92)</f>
        <v>CINDAN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2016-03-31T13:51:50Z</dcterms:created>
  <dcterms:modified xsi:type="dcterms:W3CDTF">2016-03-31T13:51:53Z</dcterms:modified>
  <cp:category/>
  <cp:version/>
  <cp:contentType/>
  <cp:contentStatus/>
</cp:coreProperties>
</file>