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 a saint vincent" sheetId="1" state="visible" r:id="rId3"/>
  </sheets>
  <externalReferences>
    <externalReference r:id="rId4"/>
  </externalReferences>
  <definedNames>
    <definedName function="false" hidden="false" localSheetId="0" name="_xlnm.Print_Area" vbProcedure="false">'loire a saint vincent'!$A$1:$O$82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<sst xmlns="http://schemas.openxmlformats.org/spreadsheetml/2006/main" count="98" uniqueCount="94">
  <si>
    <t xml:space="preserve">Relevés floristiques aquatiques - IBMR</t>
  </si>
  <si>
    <t xml:space="preserve">GIS Macrophytes - juillet 2011</t>
  </si>
  <si>
    <t xml:space="preserve">EEC</t>
  </si>
  <si>
    <t xml:space="preserve">Marle Mickaël / Gueudin Sarah</t>
  </si>
  <si>
    <t xml:space="preserve">conforme AFNOR T90-395 oct. 2003</t>
  </si>
  <si>
    <t xml:space="preserve">Loire</t>
  </si>
  <si>
    <t xml:space="preserve">La Loire à Saint Vincent</t>
  </si>
  <si>
    <t xml:space="preserve">04002200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</si>
  <si>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</si>
  <si>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</si>
  <si>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</si>
  <si>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</si>
  <si>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</si>
  <si>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</si>
  <si>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</si>
  <si>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</si>
  <si>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</si>
  <si>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</si>
  <si>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</si>
  <si>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</si>
  <si>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</si>
  <si>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</si>
  <si>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</si>
  <si>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</si>
  <si>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</si>
  <si>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</si>
  <si>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</si>
  <si>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</si>
  <si>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</si>
  <si>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</si>
  <si>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</si>
  <si>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</si>
  <si>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</si>
  <si>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</si>
  <si>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</si>
  <si>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</si>
  <si>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</si>
  <si>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</si>
  <si>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</si>
  <si>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</si>
  <si>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</si>
  <si>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</si>
  <si>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</si>
  <si>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</si>
  <si>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</si>
  <si>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</si>
  <si>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</si>
  <si>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</si>
  <si>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</si>
  <si>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</si>
  <si>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</si>
  <si>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</si>
  <si>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</si>
  <si>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</si>
  <si>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</si>
  <si>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</si>
  <si>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</si>
  <si>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</si>
  <si>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</si>
  <si>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</si>
  <si>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</si>
  <si>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</si>
  <si>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</si>
  <si>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</si>
  <si>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</si>
  <si>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</si>
  <si>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</si>
  <si>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</si>
  <si>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</si>
  <si>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</si>
  <si>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</si>
  <si>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</si>
  <si>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</si>
  <si>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</si>
  <si>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</si>
  <si>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</si>
  <si>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HILSPX</t>
  </si>
  <si>
    <t xml:space="preserve">MELSPX</t>
  </si>
  <si>
    <t xml:space="preserve">OSCSPX</t>
  </si>
  <si>
    <t xml:space="preserve">CERDEM</t>
  </si>
  <si>
    <t xml:space="preserve">LEMMIN</t>
  </si>
  <si>
    <t xml:space="preserve">MYRSPI</t>
  </si>
  <si>
    <t xml:space="preserve">RANFLU</t>
  </si>
  <si>
    <t xml:space="preserve">PHAARU</t>
  </si>
  <si>
    <t xml:space="preserve">VERBEC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</si>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</sst>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40765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10.0294117647059</v>
      </c>
      <c r="M5" s="51"/>
      <c r="N5" s="52" t="s">
        <v>16</v>
      </c>
      <c r="O5" s="53" t="n">
        <v>9.42307692307692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 t="s">
        <v>19</v>
      </c>
      <c r="D6" s="44"/>
      <c r="E6" s="44"/>
      <c r="F6" s="45"/>
      <c r="G6" s="46"/>
      <c r="H6" s="44"/>
      <c r="I6" s="55" t="s">
        <v>20</v>
      </c>
      <c r="J6" s="56"/>
      <c r="K6" s="57"/>
      <c r="L6" s="58" t="s">
        <v>21</v>
      </c>
      <c r="M6" s="59"/>
      <c r="N6" s="60" t="s">
        <v>22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23</v>
      </c>
      <c r="B7" s="62" t="n">
        <v>85</v>
      </c>
      <c r="C7" s="63" t="n">
        <v>15</v>
      </c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24</v>
      </c>
      <c r="O7" s="73" t="s">
        <v>25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26</v>
      </c>
      <c r="B8" s="74"/>
      <c r="C8" s="74"/>
      <c r="D8" s="64"/>
      <c r="E8" s="64"/>
      <c r="F8" s="75" t="s">
        <v>27</v>
      </c>
      <c r="G8" s="76"/>
      <c r="H8" s="77"/>
      <c r="I8" s="67"/>
      <c r="J8" s="68"/>
      <c r="K8" s="69"/>
      <c r="L8" s="70"/>
      <c r="M8" s="78" t="s">
        <v>28</v>
      </c>
      <c r="N8" s="79" t="n">
        <f aca="false">AVERAGE(I23:I82)</f>
        <v>9.72727272727273</v>
      </c>
      <c r="O8" s="80" t="n">
        <f aca="false">AVERAGE(J23:J82)</f>
        <v>1.45454545454545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29</v>
      </c>
      <c r="B9" s="82" t="n">
        <v>11.5</v>
      </c>
      <c r="C9" s="83" t="n">
        <v>100</v>
      </c>
      <c r="D9" s="84"/>
      <c r="E9" s="84"/>
      <c r="F9" s="85" t="n">
        <f aca="false">($B9*$B$7+$C9*$C$7)/100</f>
        <v>24.775</v>
      </c>
      <c r="G9" s="86"/>
      <c r="H9" s="87"/>
      <c r="I9" s="88"/>
      <c r="J9" s="89"/>
      <c r="K9" s="69"/>
      <c r="L9" s="90"/>
      <c r="M9" s="78" t="s">
        <v>30</v>
      </c>
      <c r="N9" s="79" t="n">
        <f aca="false">STDEV(I23:I82)</f>
        <v>2.72363393615622</v>
      </c>
      <c r="O9" s="80" t="n">
        <f aca="false">STDEV(J23:J82)</f>
        <v>0.522232967867094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31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32</v>
      </c>
      <c r="K10" s="99"/>
      <c r="L10" s="100"/>
      <c r="M10" s="101" t="s">
        <v>33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34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35</v>
      </c>
      <c r="J11" s="110"/>
      <c r="K11" s="111" t="n">
        <f aca="false">COUNTIF($G$23:$G$82,"=HET")</f>
        <v>0</v>
      </c>
      <c r="L11" s="112"/>
      <c r="M11" s="101" t="s">
        <v>36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37</v>
      </c>
      <c r="B12" s="114" t="n">
        <v>10.5</v>
      </c>
      <c r="C12" s="115" t="n">
        <v>80.5</v>
      </c>
      <c r="D12" s="107"/>
      <c r="E12" s="107"/>
      <c r="F12" s="108" t="n">
        <f aca="false">($B12*$B$7+$C12*$C$7)/100</f>
        <v>21</v>
      </c>
      <c r="G12" s="116"/>
      <c r="H12" s="64"/>
      <c r="I12" s="117" t="s">
        <v>38</v>
      </c>
      <c r="J12" s="117"/>
      <c r="K12" s="111" t="n">
        <f aca="false">COUNTIF($G$23:$G$82,"=ALG")</f>
        <v>5</v>
      </c>
      <c r="L12" s="118"/>
      <c r="M12" s="119"/>
      <c r="N12" s="120" t="s">
        <v>32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39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40</v>
      </c>
      <c r="J13" s="117"/>
      <c r="K13" s="111" t="n">
        <f aca="false">COUNTIF($G$23:$G$82,"=BRm")+COUNTIF($G$23:$G$82,"=BRh")</f>
        <v>0</v>
      </c>
      <c r="L13" s="112"/>
      <c r="M13" s="122" t="s">
        <v>41</v>
      </c>
      <c r="N13" s="123" t="n">
        <f aca="false">COUNTIF(F23:F82,"&gt;0")</f>
        <v>11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42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43</v>
      </c>
      <c r="J14" s="117"/>
      <c r="K14" s="111" t="n">
        <f aca="false">COUNTIF($G$23:$G$82,"=PTE")</f>
        <v>0</v>
      </c>
      <c r="L14" s="112"/>
      <c r="M14" s="125" t="s">
        <v>44</v>
      </c>
      <c r="N14" s="126" t="n">
        <f aca="false">COUNTIF($I$23:$I$82,"&gt;-1")</f>
        <v>11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45</v>
      </c>
      <c r="B15" s="129" t="n">
        <v>1</v>
      </c>
      <c r="C15" s="130" t="n">
        <v>20.5</v>
      </c>
      <c r="D15" s="107"/>
      <c r="E15" s="107"/>
      <c r="F15" s="108" t="n">
        <f aca="false">($B15*$B$7+$C15*$C$7)/100</f>
        <v>3.925</v>
      </c>
      <c r="G15" s="116"/>
      <c r="H15" s="64"/>
      <c r="I15" s="117" t="s">
        <v>46</v>
      </c>
      <c r="J15" s="117"/>
      <c r="K15" s="111" t="n">
        <f aca="false">(COUNTIF($G$23:$G$82,"=PHy"))+(COUNTIF($G$23:$G$82,"=PHe"))+(COUNTIF($G$23:$G$82,"=PHg"))+(COUNTIF($G$23:$G$82,"=PHx"))</f>
        <v>6</v>
      </c>
      <c r="L15" s="112"/>
      <c r="M15" s="131" t="s">
        <v>47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48</v>
      </c>
      <c r="B16" s="105"/>
      <c r="C16" s="106" t="n">
        <v>0.5</v>
      </c>
      <c r="D16" s="134"/>
      <c r="E16" s="134"/>
      <c r="F16" s="135"/>
      <c r="G16" s="135" t="n">
        <f aca="false">($B16*$B$7+$C16*$C$7)/100</f>
        <v>0.075</v>
      </c>
      <c r="H16" s="64"/>
      <c r="I16" s="117"/>
      <c r="J16" s="136"/>
      <c r="K16" s="136"/>
      <c r="L16" s="112"/>
      <c r="M16" s="131" t="s">
        <v>49</v>
      </c>
      <c r="N16" s="132" t="n">
        <f aca="false">COUNTIF(J23:J82,"=2")</f>
        <v>5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50</v>
      </c>
      <c r="B17" s="114" t="n">
        <v>11.4</v>
      </c>
      <c r="C17" s="115" t="n">
        <v>100</v>
      </c>
      <c r="D17" s="107"/>
      <c r="E17" s="107"/>
      <c r="F17" s="137"/>
      <c r="G17" s="108" t="n">
        <f aca="false">($B17*$B$7+$C17*$C$7)/100</f>
        <v>24.69</v>
      </c>
      <c r="H17" s="64"/>
      <c r="I17" s="117"/>
      <c r="J17" s="117"/>
      <c r="K17" s="136"/>
      <c r="L17" s="112"/>
      <c r="M17" s="131" t="s">
        <v>51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52</v>
      </c>
      <c r="B18" s="139" t="n">
        <v>0.1</v>
      </c>
      <c r="C18" s="140" t="n">
        <v>0.5</v>
      </c>
      <c r="D18" s="107"/>
      <c r="E18" s="141" t="s">
        <v>53</v>
      </c>
      <c r="F18" s="137"/>
      <c r="G18" s="108" t="n">
        <f aca="false">($B18*$B$7+$C18*$C$7)/100</f>
        <v>0.16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24.925</v>
      </c>
      <c r="G19" s="149" t="n">
        <f aca="false">SUM(G16:G18)</f>
        <v>24.925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54</v>
      </c>
      <c r="B20" s="157" t="n">
        <f aca="false">SUM(B23:B82)</f>
        <v>11.453</v>
      </c>
      <c r="C20" s="158" t="n">
        <f aca="false">SUM(C23:C82)</f>
        <v>101.0031</v>
      </c>
      <c r="D20" s="159"/>
      <c r="E20" s="160" t="s">
        <v>53</v>
      </c>
      <c r="F20" s="161" t="n">
        <f aca="false">($B20*$B$7+$C20*$C$7)/100</f>
        <v>24.885515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55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56</v>
      </c>
      <c r="B21" s="170" t="n">
        <f aca="false">B20*B7/100</f>
        <v>9.73505</v>
      </c>
      <c r="C21" s="170" t="n">
        <f aca="false">C20*C7/100</f>
        <v>15.150465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24.885515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57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58</v>
      </c>
      <c r="B22" s="180" t="s">
        <v>59</v>
      </c>
      <c r="C22" s="181" t="s">
        <v>59</v>
      </c>
      <c r="D22" s="134"/>
      <c r="E22" s="134"/>
      <c r="F22" s="182" t="s">
        <v>60</v>
      </c>
      <c r="G22" s="183" t="s">
        <v>61</v>
      </c>
      <c r="H22" s="134"/>
      <c r="I22" s="184" t="s">
        <v>62</v>
      </c>
      <c r="J22" s="184" t="s">
        <v>63</v>
      </c>
      <c r="K22" s="185" t="s">
        <v>64</v>
      </c>
      <c r="L22" s="185"/>
      <c r="M22" s="185"/>
      <c r="N22" s="185"/>
      <c r="O22" s="185"/>
      <c r="P22" s="186" t="s">
        <v>65</v>
      </c>
      <c r="Q22" s="187" t="s">
        <v>66</v>
      </c>
      <c r="R22" s="188" t="s">
        <v>67</v>
      </c>
      <c r="S22" s="189" t="s">
        <v>68</v>
      </c>
      <c r="T22" s="190" t="s">
        <v>69</v>
      </c>
      <c r="U22" s="188" t="s">
        <v>70</v>
      </c>
      <c r="X22" s="8" t="s">
        <v>71</v>
      </c>
      <c r="Y22" s="8" t="s">
        <v>72</v>
      </c>
      <c r="Z22" s="191" t="s">
        <v>73</v>
      </c>
      <c r="AA22" s="191" t="s">
        <v>74</v>
      </c>
    </row>
    <row r="23" customFormat="false" ht="12.75" hidden="false" customHeight="false" outlineLevel="0" collapsed="false">
      <c r="A23" s="192" t="s">
        <v>75</v>
      </c>
      <c r="B23" s="193" t="n">
        <v>0.001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0.00085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0.00085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6</v>
      </c>
      <c r="S23" s="205" t="n">
        <f aca="false">IF(ISERROR(Q23*I23*J23),0,Q23*I23*J23)</f>
        <v>6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5</v>
      </c>
      <c r="C24" s="212" t="n">
        <v>40</v>
      </c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10.25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19"/>
      <c r="P24" s="204" t="n">
        <f aca="false">IF(ISTEXT(H24),"",(B24*$B$7/100)+(C24*$C$7/100))</f>
        <v>10.25</v>
      </c>
      <c r="Q24" s="205" t="n">
        <f aca="false">IF(OR(ISTEXT(H24),P24=0),"",IF(P24&lt;0.1,1,IF(P24&lt;1,2,IF(P24&lt;10,3,IF(P24&lt;50,4,IF(P24&gt;=50,5,""))))))</f>
        <v>4</v>
      </c>
      <c r="R24" s="205" t="n">
        <f aca="false">IF(ISERROR(Q24*I24),0,Q24*I24)</f>
        <v>48</v>
      </c>
      <c r="S24" s="205" t="n">
        <f aca="false">IF(ISERROR(Q24*I24*J24),0,Q24*I24*J24)</f>
        <v>96</v>
      </c>
      <c r="T24" s="220" t="n">
        <f aca="false">IF(ISERROR(Q24*J24),0,Q24*J24)</f>
        <v>8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0.5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Hildenbrandia rivularis</v>
      </c>
      <c r="E25" s="213" t="e">
        <f aca="false">IF(D25="",,VLOOKUP(D25,D$22:D24,1,0))</f>
        <v>#N/A</v>
      </c>
      <c r="F25" s="214" t="n">
        <f aca="false">($B25*$B$7+$C25*$C$7)/100</f>
        <v>0.425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Hildenbrandia rivularis</v>
      </c>
      <c r="L25" s="221"/>
      <c r="M25" s="221"/>
      <c r="N25" s="221"/>
      <c r="O25" s="203"/>
      <c r="P25" s="204" t="n">
        <f aca="false">IF(ISTEXT(H25),"",(B25*$B$7/100)+(C25*$C$7/100))</f>
        <v>0.425</v>
      </c>
      <c r="Q25" s="205" t="n">
        <f aca="false">IF(OR(ISTEXT(H25),P25=0),"",IF(P25&lt;0.1,1,IF(P25&lt;1,2,IF(P25&lt;10,3,IF(P25&lt;50,4,IF(P25&gt;=50,5,""))))))</f>
        <v>2</v>
      </c>
      <c r="R25" s="205" t="n">
        <f aca="false">IF(ISERROR(Q25*I25),0,Q25*I25)</f>
        <v>30</v>
      </c>
      <c r="S25" s="205" t="n">
        <f aca="false">IF(ISERROR(Q25*I25*J25),0,Q25*I25*J25)</f>
        <v>60</v>
      </c>
      <c r="T25" s="220" t="n">
        <f aca="false">IF(ISERROR(Q25*J25),0,Q25*J25)</f>
        <v>4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HILSPX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31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5</v>
      </c>
      <c r="C26" s="212" t="n">
        <v>40</v>
      </c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3" t="e">
        <f aca="false">IF(D26="",,VLOOKUP(D26,D$22:D25,1,0))</f>
        <v>#N/A</v>
      </c>
      <c r="F26" s="214" t="n">
        <f aca="false">($B26*$B$7+$C26*$C$7)/100</f>
        <v>10.25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21"/>
      <c r="M26" s="221"/>
      <c r="N26" s="221"/>
      <c r="O26" s="203"/>
      <c r="P26" s="204" t="n">
        <f aca="false">IF(ISTEXT(H26),"",(B26*$B$7/100)+(C26*$C$7/100))</f>
        <v>10.25</v>
      </c>
      <c r="Q26" s="205" t="n">
        <f aca="false">IF(OR(ISTEXT(H26),P26=0),"",IF(P26&lt;0.1,1,IF(P26&lt;1,2,IF(P26&lt;10,3,IF(P26&lt;50,4,IF(P26&gt;=50,5,""))))))</f>
        <v>4</v>
      </c>
      <c r="R26" s="205" t="n">
        <f aca="false">IF(ISERROR(Q26*I26),0,Q26*I26)</f>
        <v>40</v>
      </c>
      <c r="S26" s="205" t="n">
        <f aca="false">IF(ISERROR(Q26*I26*J26),0,Q26*I26*J26)</f>
        <v>40</v>
      </c>
      <c r="T26" s="220" t="n">
        <f aca="false">IF(ISERROR(Q26*J26),0,Q26*J26)</f>
        <v>4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MELSPX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0.002</v>
      </c>
      <c r="C27" s="212" t="n">
        <v>0.5</v>
      </c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Oscillatoria sp.       </v>
      </c>
      <c r="E27" s="213" t="e">
        <f aca="false">IF(D27="",,VLOOKUP(D27,D$22:D26,1,0))</f>
        <v>#N/A</v>
      </c>
      <c r="F27" s="214" t="n">
        <f aca="false">($B27*$B$7+$C27*$C$7)/100</f>
        <v>0.0767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Oscillatoria sp.       </v>
      </c>
      <c r="L27" s="221"/>
      <c r="M27" s="221"/>
      <c r="N27" s="221"/>
      <c r="O27" s="203"/>
      <c r="P27" s="204" t="n">
        <f aca="false">IF(ISTEXT(H27),"",(B27*$B$7/100)+(C27*$C$7/100))</f>
        <v>0.0767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11</v>
      </c>
      <c r="S27" s="205" t="n">
        <f aca="false">IF(ISERROR(Q27*I27*J27),0,Q27*I27*J27)</f>
        <v>11</v>
      </c>
      <c r="T27" s="220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OSCSPX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Ceratophyllum demersum    </v>
      </c>
      <c r="E28" s="213" t="e">
        <f aca="false">IF(D28="",,VLOOKUP(D28,D$21:D27,1,0))</f>
        <v>#N/A</v>
      </c>
      <c r="F28" s="214" t="n">
        <f aca="false">($B28*$B$7+$C28*$C$7)/100</f>
        <v>0.255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5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Ceratophyllum demersum    </v>
      </c>
      <c r="L28" s="221"/>
      <c r="M28" s="221"/>
      <c r="N28" s="221"/>
      <c r="O28" s="203"/>
      <c r="P28" s="204" t="n">
        <f aca="false">IF(ISTEXT(H28),"",(B28*$B$7/100)+(C28*$C$7/100))</f>
        <v>0.255</v>
      </c>
      <c r="Q28" s="205" t="n">
        <f aca="false">IF(OR(ISTEXT(H28),P28=0),"",IF(P28&lt;0.1,1,IF(P28&lt;1,2,IF(P28&lt;10,3,IF(P28&lt;50,4,IF(P28&gt;=50,5,""))))))</f>
        <v>2</v>
      </c>
      <c r="R28" s="205" t="n">
        <f aca="false">IF(ISERROR(Q28*I28),0,Q28*I28)</f>
        <v>10</v>
      </c>
      <c r="S28" s="205" t="n">
        <f aca="false">IF(ISERROR(Q28*I28*J28),0,Q28*I28*J28)</f>
        <v>20</v>
      </c>
      <c r="T28" s="220" t="n">
        <f aca="false">IF(ISERROR(Q28*J28),0,Q28*J28)</f>
        <v>4</v>
      </c>
      <c r="U28" s="206" t="str">
        <f aca="false">IF(AND(A28="",F28=0),"",IF(F28=0,"Il manque le(s) % de rec. !",""))</f>
        <v/>
      </c>
      <c r="V28" s="207"/>
      <c r="W28" s="222"/>
      <c r="X28" s="205" t="str">
        <f aca="false">IF(A28="new.cod","NEW.COD",IF(AND((Y28=""),ISTEXT(A28)),A28,IF(Y28="","",INDEX('[1]liste reference'!$A$7:$A$906,Y28))))</f>
        <v>CERDEM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333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/>
      <c r="C29" s="212" t="n">
        <v>0.001</v>
      </c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Lemna minor</v>
      </c>
      <c r="E29" s="213" t="e">
        <f aca="false">IF(D29="",,VLOOKUP(D29,D$22:D28,1,0))</f>
        <v>#N/A</v>
      </c>
      <c r="F29" s="214" t="n">
        <f aca="false">($B29*$B$7+$C29*$C$7)/100</f>
        <v>0.00015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Lemna minor</v>
      </c>
      <c r="L29" s="221"/>
      <c r="M29" s="221"/>
      <c r="N29" s="221"/>
      <c r="O29" s="203"/>
      <c r="P29" s="204" t="n">
        <f aca="false">IF(ISTEXT(H29),"",(B29*$B$7/100)+(C29*$C$7/100))</f>
        <v>0.00015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20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LEMMIN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361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81</v>
      </c>
      <c r="B30" s="211" t="n">
        <v>0.5</v>
      </c>
      <c r="C30" s="212" t="n">
        <v>20</v>
      </c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Myriophyllum spicatum</v>
      </c>
      <c r="E30" s="213" t="e">
        <f aca="false">IF(D30="",,VLOOKUP(D30,D$22:D29,1,0))</f>
        <v>#N/A</v>
      </c>
      <c r="F30" s="214" t="n">
        <f aca="false">($B30*$B$7+$C30*$C$7)/100</f>
        <v>3.425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8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Myriophyllum spicatum</v>
      </c>
      <c r="L30" s="221"/>
      <c r="M30" s="221"/>
      <c r="N30" s="221"/>
      <c r="O30" s="203"/>
      <c r="P30" s="204" t="n">
        <f aca="false">IF(ISTEXT(H30),"",(B30*$B$7/100)+(C30*$C$7/100))</f>
        <v>3.425</v>
      </c>
      <c r="Q30" s="205" t="n">
        <f aca="false">IF(OR(ISTEXT(H30),P30=0),"",IF(P30&lt;0.1,1,IF(P30&lt;1,2,IF(P30&lt;10,3,IF(P30&lt;50,4,IF(P30&gt;=50,5,""))))))</f>
        <v>3</v>
      </c>
      <c r="R30" s="205" t="n">
        <f aca="false">IF(ISERROR(Q30*I30),0,Q30*I30)</f>
        <v>24</v>
      </c>
      <c r="S30" s="205" t="n">
        <f aca="false">IF(ISERROR(Q30*I30*J30),0,Q30*I30*J30)</f>
        <v>48</v>
      </c>
      <c r="T30" s="220" t="n">
        <f aca="false">IF(ISERROR(Q30*J30),0,Q30*J30)</f>
        <v>6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MYRSPI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377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82</v>
      </c>
      <c r="B31" s="211" t="n">
        <v>0.05</v>
      </c>
      <c r="C31" s="212" t="n">
        <v>0.0001</v>
      </c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Ranunculus fluitans</v>
      </c>
      <c r="E31" s="213" t="e">
        <f aca="false">IF(D31="",,VLOOKUP(D31,D$22:D30,1,0))</f>
        <v>#N/A</v>
      </c>
      <c r="F31" s="214" t="n">
        <f aca="false">($B31*$B$7+$C31*$C$7)/100</f>
        <v>0.042515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Ranunculus fluitans</v>
      </c>
      <c r="L31" s="221"/>
      <c r="M31" s="221"/>
      <c r="N31" s="221"/>
      <c r="O31" s="203"/>
      <c r="P31" s="204" t="n">
        <f aca="false">IF(ISTEXT(H31),"",(B31*$B$7/100)+(C31*$C$7/100))</f>
        <v>0.042515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20</v>
      </c>
      <c r="T31" s="220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RANFLU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460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83</v>
      </c>
      <c r="B32" s="211" t="n">
        <v>0.1</v>
      </c>
      <c r="C32" s="212" t="n">
        <v>0.5</v>
      </c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3" t="e">
        <f aca="false">IF(D32="",,VLOOKUP(D32,D$22:D31,1,0))</f>
        <v>#N/A</v>
      </c>
      <c r="F32" s="214" t="n">
        <f aca="false">($B32*$B$7+$C32*$C$7)/100</f>
        <v>0.16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1"/>
      <c r="M32" s="221"/>
      <c r="N32" s="221"/>
      <c r="O32" s="203"/>
      <c r="P32" s="204" t="n">
        <f aca="false">IF(ISTEXT(H32),"",(B32*$B$7/100)+(C32*$C$7/100))</f>
        <v>0.16</v>
      </c>
      <c r="Q32" s="205" t="n">
        <f aca="false">IF(OR(ISTEXT(H32),P32=0),"",IF(P32&lt;0.1,1,IF(P32&lt;1,2,IF(P32&lt;10,3,IF(P32&lt;50,4,IF(P32&gt;=50,5,""))))))</f>
        <v>2</v>
      </c>
      <c r="R32" s="205" t="n">
        <f aca="false">IF(ISERROR(Q32*I32),0,Q32*I32)</f>
        <v>20</v>
      </c>
      <c r="S32" s="205" t="n">
        <f aca="false">IF(ISERROR(Q32*I32*J32),0,Q32*I32*J32)</f>
        <v>20</v>
      </c>
      <c r="T32" s="220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PHAARU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/>
      <c r="C33" s="212" t="n">
        <v>0.002</v>
      </c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Veronica beccabunga</v>
      </c>
      <c r="E33" s="213" t="e">
        <f aca="false">IF(D33="",,VLOOKUP(D33,D$22:D32,1,0))</f>
        <v>#N/A</v>
      </c>
      <c r="F33" s="214" t="n">
        <f aca="false">($B33*$B$7+$C33*$C$7)/100</f>
        <v>0.0003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Veronica beccabunga</v>
      </c>
      <c r="L33" s="221"/>
      <c r="M33" s="221"/>
      <c r="N33" s="221"/>
      <c r="O33" s="203"/>
      <c r="P33" s="204" t="n">
        <f aca="false">IF(ISTEXT(H33),"",(B33*$B$7/100)+(C33*$C$7/100))</f>
        <v>0.0003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20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VERBEC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690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18"/>
      <c r="M34" s="218"/>
      <c r="N34" s="218"/>
      <c r="O34" s="219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20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1"/>
      <c r="M35" s="221"/>
      <c r="N35" s="221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20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1"/>
      <c r="M36" s="221"/>
      <c r="N36" s="221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20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1"/>
      <c r="M37" s="221"/>
      <c r="N37" s="221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20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1"/>
      <c r="M38" s="221"/>
      <c r="N38" s="221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20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1"/>
      <c r="M39" s="221"/>
      <c r="N39" s="221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20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1"/>
      <c r="M40" s="221"/>
      <c r="N40" s="221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20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1"/>
      <c r="M41" s="221"/>
      <c r="N41" s="221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20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1"/>
      <c r="M42" s="221"/>
      <c r="N42" s="221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20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1"/>
      <c r="M43" s="221"/>
      <c r="N43" s="221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20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1"/>
      <c r="M44" s="221"/>
      <c r="N44" s="221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20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1"/>
      <c r="M45" s="221"/>
      <c r="N45" s="221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20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1"/>
      <c r="M46" s="221"/>
      <c r="N46" s="221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20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1"/>
      <c r="M47" s="221"/>
      <c r="N47" s="221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20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1"/>
      <c r="M48" s="221"/>
      <c r="N48" s="221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20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1"/>
      <c r="M49" s="221"/>
      <c r="N49" s="221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20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1"/>
      <c r="M50" s="221"/>
      <c r="N50" s="221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20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1"/>
      <c r="M51" s="221"/>
      <c r="N51" s="221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20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1"/>
      <c r="M52" s="221"/>
      <c r="N52" s="221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20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1"/>
      <c r="M53" s="221"/>
      <c r="N53" s="221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20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1"/>
      <c r="M54" s="221"/>
      <c r="N54" s="221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20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1"/>
      <c r="M55" s="221"/>
      <c r="N55" s="221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20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1"/>
      <c r="M56" s="221"/>
      <c r="N56" s="221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20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1"/>
      <c r="M57" s="221"/>
      <c r="N57" s="221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20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1"/>
      <c r="M58" s="221"/>
      <c r="N58" s="221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20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1"/>
      <c r="M59" s="221"/>
      <c r="N59" s="221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20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1"/>
      <c r="M60" s="221"/>
      <c r="N60" s="221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20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1"/>
      <c r="M61" s="221"/>
      <c r="N61" s="221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20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1"/>
      <c r="M62" s="221"/>
      <c r="N62" s="221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20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1"/>
      <c r="M63" s="221"/>
      <c r="N63" s="221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20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1"/>
      <c r="M64" s="221"/>
      <c r="N64" s="221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20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1"/>
      <c r="M65" s="221"/>
      <c r="N65" s="221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20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1"/>
      <c r="M66" s="221"/>
      <c r="N66" s="221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20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1"/>
      <c r="M67" s="221"/>
      <c r="N67" s="221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20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1"/>
      <c r="M68" s="221"/>
      <c r="N68" s="221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20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1"/>
      <c r="M69" s="221"/>
      <c r="N69" s="221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20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1"/>
      <c r="M70" s="221"/>
      <c r="N70" s="221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20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1"/>
      <c r="M71" s="221"/>
      <c r="N71" s="221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20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1"/>
      <c r="M72" s="221"/>
      <c r="N72" s="221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20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1"/>
      <c r="M73" s="221"/>
      <c r="N73" s="221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20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1"/>
      <c r="M74" s="221"/>
      <c r="N74" s="221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20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1"/>
      <c r="M75" s="221"/>
      <c r="N75" s="221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20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1"/>
      <c r="M76" s="221"/>
      <c r="N76" s="221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20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1"/>
      <c r="M77" s="221"/>
      <c r="N77" s="221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20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1"/>
      <c r="M78" s="221"/>
      <c r="N78" s="221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20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1"/>
      <c r="M79" s="221"/>
      <c r="N79" s="221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20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1"/>
      <c r="M80" s="221"/>
      <c r="N80" s="221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20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18"/>
      <c r="M81" s="218"/>
      <c r="N81" s="218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20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20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85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Loire</v>
      </c>
      <c r="B84" s="244" t="str">
        <f aca="false">C3</f>
        <v>La Loire à Saint Vincent</v>
      </c>
      <c r="C84" s="245" t="n">
        <f aca="false">A4</f>
        <v>40765</v>
      </c>
      <c r="D84" s="246" t="n">
        <f aca="false">IF(ISERROR(SUM($S$23:$S$82)/SUM($T$23:$T$82)),"",SUM($S$23:$S$82)/SUM($T$23:$T$82))</f>
        <v>10.0294117647059</v>
      </c>
      <c r="E84" s="247" t="n">
        <f aca="false">N13</f>
        <v>11</v>
      </c>
      <c r="F84" s="244" t="n">
        <f aca="false">N14</f>
        <v>11</v>
      </c>
      <c r="G84" s="244" t="n">
        <f aca="false">N15</f>
        <v>6</v>
      </c>
      <c r="H84" s="244" t="n">
        <f aca="false">N16</f>
        <v>5</v>
      </c>
      <c r="I84" s="244" t="n">
        <f aca="false">N17</f>
        <v>0</v>
      </c>
      <c r="J84" s="248" t="n">
        <f aca="false">N8</f>
        <v>9.72727272727273</v>
      </c>
      <c r="K84" s="246" t="n">
        <f aca="false">N9</f>
        <v>2.72363393615622</v>
      </c>
      <c r="L84" s="247" t="n">
        <f aca="false">N10</f>
        <v>5</v>
      </c>
      <c r="M84" s="247" t="n">
        <f aca="false">N11</f>
        <v>15</v>
      </c>
      <c r="N84" s="246" t="n">
        <f aca="false">O8</f>
        <v>1.45454545454545</v>
      </c>
      <c r="O84" s="246" t="n">
        <f aca="false">O9</f>
        <v>0.522232967867094</v>
      </c>
      <c r="P84" s="247" t="n">
        <f aca="false">O10</f>
        <v>1</v>
      </c>
      <c r="Q84" s="247" t="n">
        <f aca="false">O11</f>
        <v>2</v>
      </c>
      <c r="R84" s="249" t="n">
        <f aca="false">F21</f>
        <v>24.885515</v>
      </c>
      <c r="S84" s="247" t="n">
        <f aca="false">K11</f>
        <v>0</v>
      </c>
      <c r="T84" s="247" t="n">
        <f aca="false">K12</f>
        <v>5</v>
      </c>
      <c r="U84" s="247" t="n">
        <f aca="false">K13</f>
        <v>0</v>
      </c>
      <c r="V84" s="250" t="n">
        <f aca="false">K14</f>
        <v>0</v>
      </c>
      <c r="W84" s="251" t="n">
        <f aca="false">K15</f>
        <v>6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86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87</v>
      </c>
      <c r="Q87" s="8"/>
      <c r="R87" s="206" t="n">
        <f aca="false">VLOOKUP(MAX($R$23:$R$82),($R$23:$T$82),1,0)</f>
        <v>48</v>
      </c>
      <c r="S87" s="8"/>
      <c r="T87" s="8"/>
      <c r="U87" s="8"/>
    </row>
    <row r="88" customFormat="false" ht="12.75" hidden="true" customHeight="false" outlineLevel="0" collapsed="false">
      <c r="P88" s="8" t="s">
        <v>88</v>
      </c>
      <c r="Q88" s="8"/>
      <c r="R88" s="206" t="n">
        <f aca="false">VLOOKUP((R87),($R$23:$T$82),2,0)</f>
        <v>96</v>
      </c>
      <c r="S88" s="8"/>
      <c r="T88" s="8"/>
      <c r="U88" s="8"/>
    </row>
    <row r="89" customFormat="false" ht="12.75" hidden="true" customHeight="false" outlineLevel="0" collapsed="false">
      <c r="P89" s="8" t="s">
        <v>89</v>
      </c>
      <c r="Q89" s="8"/>
      <c r="R89" s="206" t="n">
        <f aca="false">VLOOKUP((R87),($R$23:$T$82),3,0)</f>
        <v>8</v>
      </c>
      <c r="S89" s="8"/>
    </row>
    <row r="90" customFormat="false" ht="12.75" hidden="true" customHeight="false" outlineLevel="0" collapsed="false">
      <c r="P90" s="8" t="s">
        <v>90</v>
      </c>
      <c r="Q90" s="8"/>
      <c r="R90" s="253" t="n">
        <f aca="false">IF(ISERROR(SUM($S$23:$S$82)/SUM($T$23:$T$82)),"",(SUM($S$23:$S$82)-R88)/(SUM($T$23:$T$82)-R89))</f>
        <v>9.42307692307692</v>
      </c>
      <c r="S90" s="8"/>
    </row>
    <row r="91" customFormat="false" ht="12.75" hidden="true" customHeight="false" outlineLevel="0" collapsed="false">
      <c r="P91" s="205" t="s">
        <v>91</v>
      </c>
      <c r="Q91" s="205"/>
      <c r="R91" s="205" t="str">
        <f aca="false">INDEX('[1]liste reference'!$A$7:$A$906,$S$91)</f>
        <v>DIASPX</v>
      </c>
      <c r="S91" s="8" t="n">
        <f aca="false">IF(ISERROR(MATCH($R$93,'[1]liste reference'!$A$7:$A$906,0)),MATCH($R$93,'[1]liste reference'!$B$7:$B$906,0),(MATCH($R$93,'[1]liste reference'!$A$7:$A$906,0)))</f>
        <v>27</v>
      </c>
      <c r="T91" s="242"/>
    </row>
    <row r="92" customFormat="false" ht="12.75" hidden="true" customHeight="false" outlineLevel="0" collapsed="false">
      <c r="P92" s="8" t="s">
        <v>92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93</v>
      </c>
      <c r="Q93" s="8"/>
      <c r="R93" s="205" t="str">
        <f aca="false">INDEX($A$23:$A$82,$R$92)</f>
        <v>DIASPX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2024-03-14T18:39:29Z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