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gnon a tence" sheetId="1" state="visible" r:id="rId3"/>
  </sheets>
  <externalReferences>
    <externalReference r:id="rId4"/>
  </externalReferences>
  <definedNames>
    <definedName function="false" hidden="false" localSheetId="0" name="_xlnm.Print_Area" vbProcedure="false">'lignon a tence'!$A$1:$O$82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21</xdr:col>
                <xdr:colOff>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<sst xmlns="http://schemas.openxmlformats.org/spreadsheetml/2006/main" count="104" uniqueCount="97">
  <si>
    <t xml:space="preserve">Relevés floristiques aquatiques - IBMR</t>
  </si>
  <si>
    <t xml:space="preserve">GIS Macrophytes - juillet 2011</t>
  </si>
  <si>
    <t xml:space="preserve">EEC</t>
  </si>
  <si>
    <t xml:space="preserve">Marle Mickaël / Agasse-Yver Florence</t>
  </si>
  <si>
    <t xml:space="preserve">conforme AFNOR T90-395 oct. 2003</t>
  </si>
  <si>
    <t xml:space="preserve">Lignon du Velay</t>
  </si>
  <si>
    <t xml:space="preserve">Le Lignon du Velay à Tence</t>
  </si>
  <si>
    <t xml:space="preserve">04003200</t>
  </si>
  <si>
    <t xml:space="preserve">RCS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</si>
  <si>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</si>
  <si>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</si>
  <si>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</si>
  <si>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</si>
  <si>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</si>
  <si>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</si>
  <si>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</si>
  <si>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COLFLU</t>
  </si>
  <si>
    <t xml:space="preserve">Faciès dominant</t>
  </si>
  <si>
    <t xml:space="preserve">pl. courant</t>
  </si>
  <si>
    <t xml:space="preserve">niv. trophique:</t>
  </si>
  <si>
    <t xml:space="preserve">faible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</si>
  <si>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</si>
  <si>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</si>
  <si>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</si>
  <si>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</si>
  <si>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</si>
  <si>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</si>
  <si>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</si>
  <si>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</si>
  <si>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</si>
  <si>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</si>
  <si>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</si>
  <si>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</si>
  <si>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</si>
  <si>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</si>
  <si>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</si>
  <si>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</si>
  <si>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</si>
  <si>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</si>
  <si>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</si>
  <si>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</si>
  <si>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</si>
  <si>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</si>
  <si>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</si>
  <si>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</si>
  <si>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</si>
  <si>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</si>
  <si>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</si>
  <si>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</si>
  <si>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</si>
  <si>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</si>
  <si>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</si>
  <si>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</si>
  <si>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</si>
  <si>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</si>
  <si>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</si>
  <si>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</si>
  <si>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</si>
  <si>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</si>
  <si>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</si>
  <si>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</si>
  <si>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</si>
  <si>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</si>
  <si>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</si>
  <si>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</si>
  <si>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</si>
  <si>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</si>
  <si>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</si>
  <si>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</si>
  <si>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</si>
  <si>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</si>
  <si>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</si>
  <si>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</si>
  <si>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</si>
  <si>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HILSPX</t>
  </si>
  <si>
    <t xml:space="preserve">MELSPX</t>
  </si>
  <si>
    <t xml:space="preserve">OEDSPX</t>
  </si>
  <si>
    <t xml:space="preserve">CARACU</t>
  </si>
  <si>
    <t xml:space="preserve">cf.</t>
  </si>
  <si>
    <t xml:space="preserve">IRIPSE</t>
  </si>
  <si>
    <t xml:space="preserve">LYSVUL</t>
  </si>
  <si>
    <t xml:space="preserve">MENARV</t>
  </si>
  <si>
    <t xml:space="preserve">PHAARU</t>
  </si>
  <si>
    <t xml:space="preserve">RORSPX</t>
  </si>
  <si>
    <t xml:space="preserve">rorippa sylvestris</t>
  </si>
  <si>
    <t xml:space="preserve">DESCES</t>
  </si>
  <si>
    <t xml:space="preserve">MYSAQU</t>
  </si>
  <si>
    <t xml:space="preserve">RANREP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</si>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</sst>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name val="Arial"/>
      <family val="0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4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4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4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1_Mphyt_Calcul_IBMR_sous-traitance_DREAL_partie1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Macro1"/>
      <sheetName val="dore a olliergues"/>
      <sheetName val="dore a dore l'eglise"/>
      <sheetName val="bedat a saint laure"/>
      <sheetName val="lithroux a culhat"/>
      <sheetName val="allier a orbeil"/>
      <sheetName val="couze pavin a saint diery"/>
      <sheetName val="alagnon a beaulieu"/>
      <sheetName val="allagnon a joursac"/>
      <sheetName val="Courbieres a pradiers"/>
      <sheetName val="senouire a st pal de senouire"/>
      <sheetName val="allier à langeac"/>
      <sheetName val="desges a desges"/>
      <sheetName val="allier a saint christophe"/>
      <sheetName val="besbre a saint prix"/>
      <sheetName val="roudon a saligny sur roudon"/>
      <sheetName val="vouzance a neuilly en donjon"/>
      <sheetName val="loire a malvalette"/>
      <sheetName val="Anse du nord a beauzac"/>
      <sheetName val="anse du nord sauvessanges"/>
      <sheetName val="lignon a pont de lignon"/>
      <sheetName val="dunieres a dunieres"/>
      <sheetName val="lignon a tence"/>
      <sheetName val="loire a saint vincent"/>
      <sheetName val="loire a coubon"/>
      <sheetName val="loire a goudet"/>
      <sheetName val="modele"/>
      <sheetName val="liste codes réf"/>
    </sheetNames>
    <sheetDataSet>
      <sheetData sheetId="0"/>
      <sheetData sheetId="1"/>
      <sheetData sheetId="2">
        <row r="7">
          <cell r="A7" t="str">
            <v>LEPSPX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BANSPX</v>
          </cell>
          <cell r="B13" t="str">
            <v>Bangia sp.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7" min="16" style="1" width="8.71"/>
    <col collapsed="false" customWidth="true" hidden="true" outlineLevel="0" max="18" min="18" style="1" width="7"/>
    <col collapsed="false" customWidth="true" hidden="true" outlineLevel="0" max="19" min="19" style="1" width="4.86"/>
    <col collapsed="false" customWidth="true" hidden="true" outlineLevel="0" max="21" min="20" style="1" width="3.15"/>
    <col collapsed="false" customWidth="true" hidden="false" outlineLevel="0" max="22" min="22" style="1" width="15.15"/>
    <col collapsed="false" customWidth="true" hidden="false" outlineLevel="0" max="23" min="23" style="1" width="15.42"/>
    <col collapsed="false" customWidth="false" hidden="true" outlineLevel="0" max="25" min="24" style="1" width="11.43"/>
    <col collapsed="false" customWidth="true" hidden="false" outlineLevel="0" max="26" min="26" style="1" width="6.28"/>
    <col collapsed="false" customWidth="true" hidden="false" outlineLevel="0" max="27" min="27" style="1" width="36.3"/>
    <col collapsed="false" customWidth="true" hidden="false" outlineLevel="0" max="28" min="28" style="1" width="11.99"/>
    <col collapsed="false" customWidth="false" hidden="false" outlineLevel="0" max="1024" min="29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40773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 t="s">
        <v>11</v>
      </c>
      <c r="B5" s="42" t="s">
        <v>12</v>
      </c>
      <c r="C5" s="43" t="s">
        <v>13</v>
      </c>
      <c r="D5" s="44"/>
      <c r="E5" s="44"/>
      <c r="F5" s="45" t="s">
        <v>14</v>
      </c>
      <c r="G5" s="46"/>
      <c r="H5" s="44"/>
      <c r="I5" s="47"/>
      <c r="J5" s="48"/>
      <c r="K5" s="49" t="s">
        <v>15</v>
      </c>
      <c r="L5" s="50" t="n">
        <v>12.1304347826087</v>
      </c>
      <c r="M5" s="51"/>
      <c r="N5" s="52" t="s">
        <v>16</v>
      </c>
      <c r="O5" s="53" t="n">
        <v>9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41" t="s">
        <v>17</v>
      </c>
      <c r="B6" s="54" t="s">
        <v>18</v>
      </c>
      <c r="C6" s="54"/>
      <c r="D6" s="44"/>
      <c r="E6" s="44"/>
      <c r="F6" s="45"/>
      <c r="G6" s="46"/>
      <c r="H6" s="44"/>
      <c r="I6" s="55" t="s">
        <v>19</v>
      </c>
      <c r="J6" s="56"/>
      <c r="K6" s="57"/>
      <c r="L6" s="58" t="s">
        <v>20</v>
      </c>
      <c r="M6" s="59"/>
      <c r="N6" s="60" t="s">
        <v>21</v>
      </c>
      <c r="O6" s="60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1" t="s">
        <v>22</v>
      </c>
      <c r="B7" s="62" t="n">
        <v>100</v>
      </c>
      <c r="C7" s="63"/>
      <c r="D7" s="64"/>
      <c r="E7" s="64"/>
      <c r="F7" s="65" t="n">
        <f aca="false">IF((OR((B7+C7=100),(B7+C7=0))),B7+C7,"ATTENTION")</f>
        <v>100</v>
      </c>
      <c r="G7" s="66"/>
      <c r="H7" s="64"/>
      <c r="I7" s="67"/>
      <c r="J7" s="68"/>
      <c r="K7" s="69"/>
      <c r="L7" s="70"/>
      <c r="M7" s="71"/>
      <c r="N7" s="72" t="s">
        <v>23</v>
      </c>
      <c r="O7" s="73" t="s">
        <v>24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4" t="s">
        <v>25</v>
      </c>
      <c r="B8" s="74"/>
      <c r="C8" s="74"/>
      <c r="D8" s="64"/>
      <c r="E8" s="64"/>
      <c r="F8" s="75" t="s">
        <v>26</v>
      </c>
      <c r="G8" s="76"/>
      <c r="H8" s="77"/>
      <c r="I8" s="67"/>
      <c r="J8" s="68"/>
      <c r="K8" s="69"/>
      <c r="L8" s="70"/>
      <c r="M8" s="78" t="s">
        <v>27</v>
      </c>
      <c r="N8" s="79" t="n">
        <f aca="false">AVERAGE(I23:I82)</f>
        <v>11.3333333333333</v>
      </c>
      <c r="O8" s="80" t="n">
        <f aca="false">AVERAGE(J23:J82)</f>
        <v>1.66666666666667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1" t="s">
        <v>28</v>
      </c>
      <c r="B9" s="82" t="n">
        <v>3.5</v>
      </c>
      <c r="C9" s="83"/>
      <c r="D9" s="84"/>
      <c r="E9" s="84"/>
      <c r="F9" s="85" t="n">
        <f aca="false">($B9*$B$7+$C9*$C$7)/100</f>
        <v>3.5</v>
      </c>
      <c r="G9" s="86"/>
      <c r="H9" s="87"/>
      <c r="I9" s="88"/>
      <c r="J9" s="89"/>
      <c r="K9" s="69"/>
      <c r="L9" s="90"/>
      <c r="M9" s="78" t="s">
        <v>29</v>
      </c>
      <c r="N9" s="79" t="n">
        <f aca="false">STDEV(I23:I82)</f>
        <v>3.98329846567724</v>
      </c>
      <c r="O9" s="80" t="n">
        <f aca="false">STDEV(J23:J82)</f>
        <v>0.816496580927726</v>
      </c>
      <c r="P9" s="8"/>
      <c r="Q9" s="8"/>
      <c r="R9" s="8"/>
      <c r="S9" s="8"/>
      <c r="T9" s="8"/>
      <c r="U9" s="8"/>
      <c r="V9" s="91"/>
      <c r="W9" s="92"/>
    </row>
    <row r="10" customFormat="false" ht="12.75" hidden="false" customHeight="false" outlineLevel="0" collapsed="false">
      <c r="A10" s="93" t="s">
        <v>30</v>
      </c>
      <c r="B10" s="94"/>
      <c r="C10" s="95"/>
      <c r="D10" s="96"/>
      <c r="E10" s="96"/>
      <c r="F10" s="85" t="n">
        <f aca="false">($B10*$B$7+$C10*$C$7)/100</f>
        <v>0</v>
      </c>
      <c r="G10" s="86"/>
      <c r="H10" s="97"/>
      <c r="I10" s="98"/>
      <c r="J10" s="99" t="s">
        <v>31</v>
      </c>
      <c r="K10" s="99"/>
      <c r="L10" s="100"/>
      <c r="M10" s="101" t="s">
        <v>32</v>
      </c>
      <c r="N10" s="102" t="n">
        <f aca="false">MIN(I23:I82)</f>
        <v>6</v>
      </c>
      <c r="O10" s="103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4" t="s">
        <v>33</v>
      </c>
      <c r="B11" s="105"/>
      <c r="C11" s="106"/>
      <c r="D11" s="107"/>
      <c r="E11" s="107"/>
      <c r="F11" s="108" t="n">
        <f aca="false">($B11*$B$7+$C11*$C$7)/100</f>
        <v>0</v>
      </c>
      <c r="G11" s="109"/>
      <c r="H11" s="64"/>
      <c r="I11" s="110" t="s">
        <v>34</v>
      </c>
      <c r="J11" s="110"/>
      <c r="K11" s="111" t="n">
        <f aca="false">COUNTIF($G$23:$G$82,"=HET")</f>
        <v>0</v>
      </c>
      <c r="L11" s="112"/>
      <c r="M11" s="101" t="s">
        <v>35</v>
      </c>
      <c r="N11" s="102" t="n">
        <f aca="false">MAX(I23:I82)</f>
        <v>17</v>
      </c>
      <c r="O11" s="103" t="n">
        <f aca="false">MAX(J23:J82)</f>
        <v>3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3" t="s">
        <v>36</v>
      </c>
      <c r="B12" s="114" t="n">
        <v>2</v>
      </c>
      <c r="C12" s="115"/>
      <c r="D12" s="107"/>
      <c r="E12" s="107"/>
      <c r="F12" s="108" t="n">
        <f aca="false">($B12*$B$7+$C12*$C$7)/100</f>
        <v>2</v>
      </c>
      <c r="G12" s="116"/>
      <c r="H12" s="64"/>
      <c r="I12" s="117" t="s">
        <v>37</v>
      </c>
      <c r="J12" s="117"/>
      <c r="K12" s="111" t="n">
        <f aca="false">COUNTIF($G$23:$G$82,"=ALG")</f>
        <v>3</v>
      </c>
      <c r="L12" s="118"/>
      <c r="M12" s="119"/>
      <c r="N12" s="120" t="s">
        <v>31</v>
      </c>
      <c r="O12" s="121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3" t="s">
        <v>38</v>
      </c>
      <c r="B13" s="114" t="n">
        <v>1</v>
      </c>
      <c r="C13" s="115"/>
      <c r="D13" s="107"/>
      <c r="E13" s="107"/>
      <c r="F13" s="108" t="n">
        <f aca="false">($B13*$B$7+$C13*$C$7)/100</f>
        <v>1</v>
      </c>
      <c r="G13" s="116"/>
      <c r="H13" s="64"/>
      <c r="I13" s="117" t="s">
        <v>39</v>
      </c>
      <c r="J13" s="117"/>
      <c r="K13" s="111" t="n">
        <f aca="false">COUNTIF($G$23:$G$82,"=BRm")+COUNTIF($G$23:$G$82,"=BRh")</f>
        <v>0</v>
      </c>
      <c r="L13" s="112"/>
      <c r="M13" s="122" t="s">
        <v>40</v>
      </c>
      <c r="N13" s="123" t="n">
        <f aca="false">COUNTIF(F23:F82,"&gt;0")</f>
        <v>13</v>
      </c>
      <c r="O13" s="124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3" t="s">
        <v>41</v>
      </c>
      <c r="B14" s="114"/>
      <c r="C14" s="115"/>
      <c r="D14" s="107"/>
      <c r="E14" s="107"/>
      <c r="F14" s="108" t="n">
        <f aca="false">($B14*$B$7+$C14*$C$7)/100</f>
        <v>0</v>
      </c>
      <c r="G14" s="116"/>
      <c r="H14" s="64"/>
      <c r="I14" s="117" t="s">
        <v>42</v>
      </c>
      <c r="J14" s="117"/>
      <c r="K14" s="111" t="n">
        <f aca="false">COUNTIF($G$23:$G$82,"=PTE")</f>
        <v>0</v>
      </c>
      <c r="L14" s="112"/>
      <c r="M14" s="125" t="s">
        <v>43</v>
      </c>
      <c r="N14" s="126" t="n">
        <f aca="false">COUNTIF($I$23:$I$82,"&gt;-1")</f>
        <v>6</v>
      </c>
      <c r="O14" s="127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28" t="s">
        <v>44</v>
      </c>
      <c r="B15" s="129" t="n">
        <v>0.5</v>
      </c>
      <c r="C15" s="130"/>
      <c r="D15" s="107"/>
      <c r="E15" s="107"/>
      <c r="F15" s="108" t="n">
        <f aca="false">($B15*$B$7+$C15*$C$7)/100</f>
        <v>0.5</v>
      </c>
      <c r="G15" s="116"/>
      <c r="H15" s="64"/>
      <c r="I15" s="117" t="s">
        <v>45</v>
      </c>
      <c r="J15" s="117"/>
      <c r="K15" s="111" t="n">
        <f aca="false">(COUNTIF($G$23:$G$82,"=PHy"))+(COUNTIF($G$23:$G$82,"=PHe"))+(COUNTIF($G$23:$G$82,"=PHg"))+(COUNTIF($G$23:$G$82,"=PHx"))</f>
        <v>9</v>
      </c>
      <c r="L15" s="112"/>
      <c r="M15" s="131" t="s">
        <v>46</v>
      </c>
      <c r="N15" s="132" t="n">
        <f aca="false">COUNTIF(J23:J82,"=1")</f>
        <v>3</v>
      </c>
      <c r="O15" s="133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4" t="s">
        <v>47</v>
      </c>
      <c r="B16" s="105"/>
      <c r="C16" s="106"/>
      <c r="D16" s="134"/>
      <c r="E16" s="134"/>
      <c r="F16" s="135"/>
      <c r="G16" s="135" t="n">
        <f aca="false">($B16*$B$7+$C16*$C$7)/100</f>
        <v>0</v>
      </c>
      <c r="H16" s="64"/>
      <c r="I16" s="117"/>
      <c r="J16" s="136"/>
      <c r="K16" s="136"/>
      <c r="L16" s="112"/>
      <c r="M16" s="131" t="s">
        <v>48</v>
      </c>
      <c r="N16" s="132" t="n">
        <f aca="false">COUNTIF(J23:J82,"=2")</f>
        <v>2</v>
      </c>
      <c r="O16" s="133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3" t="s">
        <v>49</v>
      </c>
      <c r="B17" s="114" t="n">
        <v>3</v>
      </c>
      <c r="C17" s="115"/>
      <c r="D17" s="107"/>
      <c r="E17" s="107"/>
      <c r="F17" s="137"/>
      <c r="G17" s="108" t="n">
        <f aca="false">($B17*$B$7+$C17*$C$7)/100</f>
        <v>3</v>
      </c>
      <c r="H17" s="64"/>
      <c r="I17" s="117"/>
      <c r="J17" s="117"/>
      <c r="K17" s="136"/>
      <c r="L17" s="112"/>
      <c r="M17" s="131" t="s">
        <v>50</v>
      </c>
      <c r="N17" s="132" t="n">
        <f aca="false">COUNTIF(J23:J82,"=3")</f>
        <v>1</v>
      </c>
      <c r="O17" s="133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38" t="s">
        <v>51</v>
      </c>
      <c r="B18" s="139" t="n">
        <v>0.5</v>
      </c>
      <c r="C18" s="140"/>
      <c r="D18" s="107"/>
      <c r="E18" s="141" t="s">
        <v>52</v>
      </c>
      <c r="F18" s="137"/>
      <c r="G18" s="108" t="n">
        <f aca="false">($B18*$B$7+$C18*$C$7)/100</f>
        <v>0.5</v>
      </c>
      <c r="H18" s="64"/>
      <c r="I18" s="117"/>
      <c r="J18" s="117"/>
      <c r="K18" s="136"/>
      <c r="L18" s="112"/>
      <c r="M18" s="142"/>
      <c r="N18" s="142"/>
      <c r="O18" s="133"/>
      <c r="P18" s="8"/>
      <c r="Q18" s="8"/>
      <c r="R18" s="8"/>
      <c r="S18" s="8"/>
      <c r="T18" s="8"/>
      <c r="U18" s="8"/>
      <c r="V18" s="143"/>
    </row>
    <row r="19" customFormat="false" ht="12.75" hidden="false" customHeight="false" outlineLevel="0" collapsed="false">
      <c r="A19" s="144" t="str">
        <f aca="false">IF(AND(OR(AND((B9=""),(B7="")),(B9=""),AND(ISNUMBER(B9),ISNUMBER(B7))),OR(AND((C9=""),(C7="")),(C9=""),AND(ISNUMBER(C9),ISNUMBER(C7)))),"","ATTENTION: renseigner % faciès / station")</f>
        <v/>
      </c>
      <c r="B19" s="145"/>
      <c r="C19" s="146"/>
      <c r="D19" s="147" t="str">
        <f aca="false">IF(G19=F19,"","ATTENTION : le total par grp. floristiques doit être égal")</f>
        <v/>
      </c>
      <c r="E19" s="148" t="str">
        <f aca="false">IF(G19=F19,"","au total par grp. Fonctionnels !")</f>
        <v/>
      </c>
      <c r="F19" s="149" t="n">
        <f aca="false">SUM(F11:F15)</f>
        <v>3.5</v>
      </c>
      <c r="G19" s="149" t="n">
        <f aca="false">SUM(G16:G18)</f>
        <v>3.5</v>
      </c>
      <c r="H19" s="150"/>
      <c r="I19" s="151"/>
      <c r="J19" s="152"/>
      <c r="K19" s="153"/>
      <c r="L19" s="154"/>
      <c r="M19" s="155"/>
      <c r="N19" s="57"/>
      <c r="O19" s="156"/>
      <c r="P19" s="8"/>
      <c r="Q19" s="8"/>
      <c r="R19" s="8"/>
      <c r="S19" s="8"/>
      <c r="T19" s="8"/>
      <c r="U19" s="8"/>
      <c r="V19" s="143"/>
    </row>
    <row r="20" customFormat="false" ht="12.75" hidden="false" customHeight="false" outlineLevel="0" collapsed="false">
      <c r="A20" s="81" t="s">
        <v>53</v>
      </c>
      <c r="B20" s="157" t="n">
        <f aca="false">SUM(B23:B82)</f>
        <v>3.6641</v>
      </c>
      <c r="C20" s="158" t="n">
        <f aca="false">SUM(C23:C82)</f>
        <v>0</v>
      </c>
      <c r="D20" s="159"/>
      <c r="E20" s="160" t="s">
        <v>52</v>
      </c>
      <c r="F20" s="161" t="n">
        <f aca="false">($B20*$B$7+$C20*$C$7)/100</f>
        <v>3.6641</v>
      </c>
      <c r="G20" s="162"/>
      <c r="H20" s="163"/>
      <c r="I20" s="164"/>
      <c r="J20" s="164"/>
      <c r="K20" s="165"/>
      <c r="L20" s="45"/>
      <c r="M20" s="166"/>
      <c r="N20" s="166"/>
      <c r="O20" s="167"/>
      <c r="P20" s="168" t="s">
        <v>54</v>
      </c>
      <c r="Q20" s="8"/>
      <c r="R20" s="8"/>
      <c r="S20" s="8"/>
      <c r="T20" s="8"/>
      <c r="U20" s="8"/>
      <c r="V20" s="143"/>
    </row>
    <row r="21" customFormat="false" ht="12.75" hidden="false" customHeight="false" outlineLevel="0" collapsed="false">
      <c r="A21" s="169" t="s">
        <v>55</v>
      </c>
      <c r="B21" s="170" t="n">
        <f aca="false">B20*B7/100</f>
        <v>3.6641</v>
      </c>
      <c r="C21" s="170" t="n">
        <f aca="false">C20*C7/100</f>
        <v>0</v>
      </c>
      <c r="D21" s="107" t="str">
        <f aca="false">IF(F21=0,"",IF((ABS(F21-F19))&gt;(0.2*F21),CONCATENATE(" rec. par taxa (",F21," %) supérieur à 20 % !"),""))</f>
        <v/>
      </c>
      <c r="E21" s="171" t="str">
        <f aca="false">IF(F21=0,"",IF((ABS(F21-F19))&gt;(0.2*F21),CONCATENATE("ATTENTION : écart entre rec. par grp (",F19," %) ","et",""),""))</f>
        <v/>
      </c>
      <c r="F21" s="172" t="n">
        <f aca="false">B21+C21</f>
        <v>3.6641</v>
      </c>
      <c r="G21" s="173"/>
      <c r="H21" s="107"/>
      <c r="I21" s="174"/>
      <c r="J21" s="174"/>
      <c r="K21" s="175"/>
      <c r="L21" s="175"/>
      <c r="M21" s="176"/>
      <c r="N21" s="176"/>
      <c r="O21" s="177"/>
      <c r="P21" s="178" t="s">
        <v>56</v>
      </c>
      <c r="Q21" s="8"/>
      <c r="R21" s="8"/>
      <c r="S21" s="8"/>
      <c r="T21" s="8"/>
      <c r="U21" s="8"/>
      <c r="V21" s="143"/>
    </row>
    <row r="22" customFormat="false" ht="12.75" hidden="false" customHeight="false" outlineLevel="0" collapsed="false">
      <c r="A22" s="179" t="s">
        <v>57</v>
      </c>
      <c r="B22" s="180" t="s">
        <v>58</v>
      </c>
      <c r="C22" s="181" t="s">
        <v>58</v>
      </c>
      <c r="D22" s="134"/>
      <c r="E22" s="134"/>
      <c r="F22" s="182" t="s">
        <v>59</v>
      </c>
      <c r="G22" s="183" t="s">
        <v>60</v>
      </c>
      <c r="H22" s="134"/>
      <c r="I22" s="184" t="s">
        <v>61</v>
      </c>
      <c r="J22" s="184" t="s">
        <v>62</v>
      </c>
      <c r="K22" s="185" t="s">
        <v>63</v>
      </c>
      <c r="L22" s="185"/>
      <c r="M22" s="185"/>
      <c r="N22" s="185"/>
      <c r="O22" s="185"/>
      <c r="P22" s="186" t="s">
        <v>64</v>
      </c>
      <c r="Q22" s="187" t="s">
        <v>65</v>
      </c>
      <c r="R22" s="188" t="s">
        <v>66</v>
      </c>
      <c r="S22" s="189" t="s">
        <v>67</v>
      </c>
      <c r="T22" s="190" t="s">
        <v>68</v>
      </c>
      <c r="U22" s="188" t="s">
        <v>69</v>
      </c>
      <c r="X22" s="8" t="s">
        <v>70</v>
      </c>
      <c r="Y22" s="8" t="s">
        <v>71</v>
      </c>
      <c r="Z22" s="191" t="s">
        <v>72</v>
      </c>
      <c r="AA22" s="191" t="s">
        <v>73</v>
      </c>
    </row>
    <row r="23" customFormat="false" ht="12.75" hidden="false" customHeight="false" outlineLevel="0" collapsed="false">
      <c r="A23" s="192" t="s">
        <v>74</v>
      </c>
      <c r="B23" s="193" t="n">
        <v>0.0001</v>
      </c>
      <c r="C23" s="194"/>
      <c r="D23" s="195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Hildenbrandia rivularis</v>
      </c>
      <c r="E23" s="195" t="e">
        <f aca="false">IF(D23="",,VLOOKUP(D23,D$22:D22,1,0))</f>
        <v>#N/A</v>
      </c>
      <c r="F23" s="196" t="n">
        <f aca="false">($B23*$B$7+$C23*$C$7)/100</f>
        <v>0.0001</v>
      </c>
      <c r="G23" s="197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ALG</v>
      </c>
      <c r="H23" s="198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2</v>
      </c>
      <c r="I23" s="199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15</v>
      </c>
      <c r="J23" s="200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2</v>
      </c>
      <c r="K23" s="201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Hildenbrandia rivularis</v>
      </c>
      <c r="L23" s="202"/>
      <c r="M23" s="202"/>
      <c r="N23" s="202"/>
      <c r="O23" s="203"/>
      <c r="P23" s="204" t="n">
        <f aca="false">IF(ISTEXT(H23),"",(B23*$B$7/100)+(C23*$C$7/100))</f>
        <v>0.0001</v>
      </c>
      <c r="Q23" s="205" t="n">
        <f aca="false">IF(OR(ISTEXT(H23),P23=0),"",IF(P23&lt;0.1,1,IF(P23&lt;1,2,IF(P23&lt;10,3,IF(P23&lt;50,4,IF(P23&gt;=50,5,""))))))</f>
        <v>1</v>
      </c>
      <c r="R23" s="205" t="n">
        <f aca="false">IF(ISERROR(Q23*I23),0,Q23*I23)</f>
        <v>15</v>
      </c>
      <c r="S23" s="205" t="n">
        <f aca="false">IF(ISERROR(Q23*I23*J23),0,Q23*I23*J23)</f>
        <v>30</v>
      </c>
      <c r="T23" s="205" t="n">
        <f aca="false">IF(ISERROR(Q23*J23),0,Q23*J23)</f>
        <v>2</v>
      </c>
      <c r="U23" s="206" t="str">
        <f aca="false">IF(AND(A23="",F23=0),"",IF(F23=0,"Il manque le(s) % de rec. !",""))</f>
        <v/>
      </c>
      <c r="V23" s="207"/>
      <c r="X23" s="205" t="str">
        <f aca="false">IF(A23="new.cod","NEW.COD",IF(AND((Y23=""),ISTEXT(A23)),A23,IF(Y23="","",INDEX('[1]liste reference'!$A$7:$A$906,Y23))))</f>
        <v>HILSPX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31</v>
      </c>
      <c r="Z23" s="208"/>
      <c r="AA23" s="209"/>
      <c r="BB23" s="8" t="n">
        <f aca="false">IF(A23="","",1)</f>
        <v>1</v>
      </c>
    </row>
    <row r="24" customFormat="false" ht="12.75" hidden="false" customHeight="false" outlineLevel="0" collapsed="false">
      <c r="A24" s="210" t="s">
        <v>75</v>
      </c>
      <c r="B24" s="211" t="n">
        <v>1</v>
      </c>
      <c r="C24" s="212"/>
      <c r="D24" s="213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Melosira sp.</v>
      </c>
      <c r="E24" s="213" t="e">
        <f aca="false">IF(D24="",,VLOOKUP(D24,D$22:D23,1,0))</f>
        <v>#N/A</v>
      </c>
      <c r="F24" s="214" t="n">
        <f aca="false">($B24*$B$7+$C24*$C$7)/100</f>
        <v>1</v>
      </c>
      <c r="G24" s="215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ALG</v>
      </c>
      <c r="H24" s="198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2</v>
      </c>
      <c r="I24" s="216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10</v>
      </c>
      <c r="J24" s="200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1</v>
      </c>
      <c r="K24" s="217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Melosira sp.</v>
      </c>
      <c r="L24" s="218"/>
      <c r="M24" s="218"/>
      <c r="N24" s="218"/>
      <c r="O24" s="203"/>
      <c r="P24" s="204" t="n">
        <f aca="false">IF(ISTEXT(H24),"",(B24*$B$7/100)+(C24*$C$7/100))</f>
        <v>1</v>
      </c>
      <c r="Q24" s="205" t="n">
        <f aca="false">IF(OR(ISTEXT(H24),P24=0),"",IF(P24&lt;0.1,1,IF(P24&lt;1,2,IF(P24&lt;10,3,IF(P24&lt;50,4,IF(P24&gt;=50,5,""))))))</f>
        <v>3</v>
      </c>
      <c r="R24" s="205" t="n">
        <f aca="false">IF(ISERROR(Q24*I24),0,Q24*I24)</f>
        <v>30</v>
      </c>
      <c r="S24" s="205" t="n">
        <f aca="false">IF(ISERROR(Q24*I24*J24),0,Q24*I24*J24)</f>
        <v>30</v>
      </c>
      <c r="T24" s="219" t="n">
        <f aca="false">IF(ISERROR(Q24*J24),0,Q24*J24)</f>
        <v>3</v>
      </c>
      <c r="U24" s="206" t="str">
        <f aca="false">IF(AND(A24="",F24=0),"",IF(F24=0,"Il manque le(s) % de rec. !",""))</f>
        <v/>
      </c>
      <c r="V24" s="207"/>
      <c r="X24" s="205" t="str">
        <f aca="false">IF(A24="new.cod","NEW.COD",IF(AND((Y24=""),ISTEXT(A24)),A24,IF(Y24="","",INDEX('[1]liste reference'!$A$7:$A$906,Y24))))</f>
        <v>MELSPX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37</v>
      </c>
      <c r="Z24" s="208"/>
      <c r="AA24" s="209"/>
      <c r="BB24" s="8" t="n">
        <f aca="false">IF(A24="","",1)</f>
        <v>1</v>
      </c>
    </row>
    <row r="25" customFormat="false" ht="12.75" hidden="false" customHeight="false" outlineLevel="0" collapsed="false">
      <c r="A25" s="210" t="s">
        <v>76</v>
      </c>
      <c r="B25" s="211" t="n">
        <v>1.1</v>
      </c>
      <c r="C25" s="212"/>
      <c r="D25" s="213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Oedogonium sp.</v>
      </c>
      <c r="E25" s="213" t="e">
        <f aca="false">IF(D25="",,VLOOKUP(D25,D$22:D24,1,0))</f>
        <v>#N/A</v>
      </c>
      <c r="F25" s="214" t="n">
        <f aca="false">($B25*$B$7+$C25*$C$7)/100</f>
        <v>1.1</v>
      </c>
      <c r="G25" s="215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ALG</v>
      </c>
      <c r="H25" s="198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2</v>
      </c>
      <c r="I25" s="216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6</v>
      </c>
      <c r="J25" s="200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2</v>
      </c>
      <c r="K25" s="217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Oedogonium sp.</v>
      </c>
      <c r="L25" s="218"/>
      <c r="M25" s="218"/>
      <c r="N25" s="218"/>
      <c r="O25" s="203"/>
      <c r="P25" s="204" t="n">
        <f aca="false">IF(ISTEXT(H25),"",(B25*$B$7/100)+(C25*$C$7/100))</f>
        <v>1.1</v>
      </c>
      <c r="Q25" s="205" t="n">
        <f aca="false">IF(OR(ISTEXT(H25),P25=0),"",IF(P25&lt;0.1,1,IF(P25&lt;1,2,IF(P25&lt;10,3,IF(P25&lt;50,4,IF(P25&gt;=50,5,""))))))</f>
        <v>3</v>
      </c>
      <c r="R25" s="205" t="n">
        <f aca="false">IF(ISERROR(Q25*I25),0,Q25*I25)</f>
        <v>18</v>
      </c>
      <c r="S25" s="205" t="n">
        <f aca="false">IF(ISERROR(Q25*I25*J25),0,Q25*I25*J25)</f>
        <v>36</v>
      </c>
      <c r="T25" s="219" t="n">
        <f aca="false">IF(ISERROR(Q25*J25),0,Q25*J25)</f>
        <v>6</v>
      </c>
      <c r="U25" s="206" t="str">
        <f aca="false">IF(AND(A25="",F25=0),"",IF(F25=0,"Il manque le(s) % de rec. !",""))</f>
        <v/>
      </c>
      <c r="V25" s="207"/>
      <c r="X25" s="205" t="str">
        <f aca="false">IF(A25="new.cod","NEW.COD",IF(AND((Y25=""),ISTEXT(A25)),A25,IF(Y25="","",INDEX('[1]liste reference'!$A$7:$A$906,Y25))))</f>
        <v>OEDSPX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56</v>
      </c>
      <c r="Z25" s="208"/>
      <c r="AA25" s="209"/>
      <c r="BB25" s="8" t="n">
        <f aca="false">IF(A25="","",1)</f>
        <v>1</v>
      </c>
    </row>
    <row r="26" customFormat="false" ht="12.75" hidden="false" customHeight="false" outlineLevel="0" collapsed="false">
      <c r="A26" s="210" t="s">
        <v>16</v>
      </c>
      <c r="B26" s="211" t="n">
        <v>1</v>
      </c>
      <c r="C26" s="212"/>
      <c r="D26" s="213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Collema fluviatile</v>
      </c>
      <c r="E26" s="213" t="e">
        <f aca="false">IF(D26="",,VLOOKUP(D26,D$22:D25,1,0))</f>
        <v>#N/A</v>
      </c>
      <c r="F26" s="214" t="n">
        <f aca="false">($B26*$B$7+$C26*$C$7)/100</f>
        <v>1</v>
      </c>
      <c r="G26" s="215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LIC</v>
      </c>
      <c r="H26" s="198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3</v>
      </c>
      <c r="I26" s="216" t="n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>17</v>
      </c>
      <c r="J26" s="200" t="n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>3</v>
      </c>
      <c r="K26" s="217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Collema fluviatile</v>
      </c>
      <c r="L26" s="218"/>
      <c r="M26" s="218"/>
      <c r="N26" s="218"/>
      <c r="O26" s="203"/>
      <c r="P26" s="204" t="n">
        <f aca="false">IF(ISTEXT(H26),"",(B26*$B$7/100)+(C26*$C$7/100))</f>
        <v>1</v>
      </c>
      <c r="Q26" s="205" t="n">
        <f aca="false">IF(OR(ISTEXT(H26),P26=0),"",IF(P26&lt;0.1,1,IF(P26&lt;1,2,IF(P26&lt;10,3,IF(P26&lt;50,4,IF(P26&gt;=50,5,""))))))</f>
        <v>3</v>
      </c>
      <c r="R26" s="205" t="n">
        <f aca="false">IF(ISERROR(Q26*I26),0,Q26*I26)</f>
        <v>51</v>
      </c>
      <c r="S26" s="205" t="n">
        <f aca="false">IF(ISERROR(Q26*I26*J26),0,Q26*I26*J26)</f>
        <v>153</v>
      </c>
      <c r="T26" s="219" t="n">
        <f aca="false">IF(ISERROR(Q26*J26),0,Q26*J26)</f>
        <v>9</v>
      </c>
      <c r="U26" s="206" t="str">
        <f aca="false">IF(AND(A26="",F26=0),"",IF(F26=0,"Il manque le(s) % de rec. !",""))</f>
        <v/>
      </c>
      <c r="V26" s="207"/>
      <c r="X26" s="205" t="str">
        <f aca="false">IF(A26="new.cod","NEW.COD",IF(AND((Y26=""),ISTEXT(A26)),A26,IF(Y26="","",INDEX('[1]liste reference'!$A$7:$A$906,Y26))))</f>
        <v>COLFLU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86</v>
      </c>
      <c r="Z26" s="208"/>
      <c r="AA26" s="209"/>
      <c r="BB26" s="8" t="n">
        <f aca="false">IF(A26="","",1)</f>
        <v>1</v>
      </c>
    </row>
    <row r="27" customFormat="false" ht="12.75" hidden="false" customHeight="false" outlineLevel="0" collapsed="false">
      <c r="A27" s="210" t="s">
        <v>77</v>
      </c>
      <c r="B27" s="211" t="n">
        <v>0.01</v>
      </c>
      <c r="C27" s="212"/>
      <c r="D27" s="213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Carex acuta</v>
      </c>
      <c r="E27" s="213" t="e">
        <f aca="false">IF(D27="",,VLOOKUP(D27,D$22:D26,1,0))</f>
        <v>#N/A</v>
      </c>
      <c r="F27" s="214" t="n">
        <f aca="false">($B27*$B$7+$C27*$C$7)/100</f>
        <v>0.01</v>
      </c>
      <c r="G27" s="215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PHe</v>
      </c>
      <c r="H27" s="198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8</v>
      </c>
      <c r="I27" s="216" t="str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/>
      </c>
      <c r="J27" s="200" t="str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/>
      </c>
      <c r="K27" s="217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Carex acuta</v>
      </c>
      <c r="L27" s="218"/>
      <c r="M27" s="218"/>
      <c r="N27" s="218"/>
      <c r="O27" s="203" t="s">
        <v>78</v>
      </c>
      <c r="P27" s="204" t="n">
        <f aca="false">IF(ISTEXT(H27),"",(B27*$B$7/100)+(C27*$C$7/100))</f>
        <v>0.01</v>
      </c>
      <c r="Q27" s="205" t="n">
        <f aca="false">IF(OR(ISTEXT(H27),P27=0),"",IF(P27&lt;0.1,1,IF(P27&lt;1,2,IF(P27&lt;10,3,IF(P27&lt;50,4,IF(P27&gt;=50,5,""))))))</f>
        <v>1</v>
      </c>
      <c r="R27" s="205" t="n">
        <f aca="false">IF(ISERROR(Q27*I27),0,Q27*I27)</f>
        <v>0</v>
      </c>
      <c r="S27" s="205" t="n">
        <f aca="false">IF(ISERROR(Q27*I27*J27),0,Q27*I27*J27)</f>
        <v>0</v>
      </c>
      <c r="T27" s="219" t="n">
        <f aca="false">IF(ISERROR(Q27*J27),0,Q27*J27)</f>
        <v>0</v>
      </c>
      <c r="U27" s="206" t="str">
        <f aca="false">IF(AND(A27="",F27=0),"",IF(F27=0,"Il manque le(s) % de rec. !",""))</f>
        <v/>
      </c>
      <c r="V27" s="207"/>
      <c r="X27" s="205" t="str">
        <f aca="false">IF(A27="new.cod","NEW.COD",IF(AND((Y27=""),ISTEXT(A27)),A27,IF(Y27="","",INDEX('[1]liste reference'!$A$7:$A$906,Y27))))</f>
        <v>CARACU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542</v>
      </c>
      <c r="Z27" s="208" t="s">
        <v>78</v>
      </c>
      <c r="AA27" s="209"/>
      <c r="BB27" s="8" t="n">
        <f aca="false">IF(A27="","",1)</f>
        <v>1</v>
      </c>
    </row>
    <row r="28" customFormat="false" ht="12.75" hidden="false" customHeight="false" outlineLevel="0" collapsed="false">
      <c r="A28" s="210" t="s">
        <v>79</v>
      </c>
      <c r="B28" s="211" t="n">
        <v>0.001</v>
      </c>
      <c r="C28" s="212"/>
      <c r="D28" s="213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>Iris pseudacorus</v>
      </c>
      <c r="E28" s="213" t="e">
        <f aca="false">IF(D28="",,VLOOKUP(D28,D$22:D27,1,0))</f>
        <v>#N/A</v>
      </c>
      <c r="F28" s="214" t="n">
        <f aca="false">($B28*$B$7+$C28*$C$7)/100</f>
        <v>0.001</v>
      </c>
      <c r="G28" s="215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>PHe</v>
      </c>
      <c r="H28" s="198" t="n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8</v>
      </c>
      <c r="I28" s="216" t="n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>10</v>
      </c>
      <c r="J28" s="200" t="n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>1</v>
      </c>
      <c r="K28" s="217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>Iris pseudacorus</v>
      </c>
      <c r="L28" s="220"/>
      <c r="M28" s="220"/>
      <c r="N28" s="220"/>
      <c r="O28" s="221"/>
      <c r="P28" s="204" t="n">
        <f aca="false">IF(ISTEXT(H28),"",(B28*$B$7/100)+(C28*$C$7/100))</f>
        <v>0.001</v>
      </c>
      <c r="Q28" s="205" t="n">
        <f aca="false">IF(OR(ISTEXT(H28),P28=0),"",IF(P28&lt;0.1,1,IF(P28&lt;1,2,IF(P28&lt;10,3,IF(P28&lt;50,4,IF(P28&gt;=50,5,""))))))</f>
        <v>1</v>
      </c>
      <c r="R28" s="205" t="n">
        <f aca="false">IF(ISERROR(Q28*I28),0,Q28*I28)</f>
        <v>10</v>
      </c>
      <c r="S28" s="205" t="n">
        <f aca="false">IF(ISERROR(Q28*I28*J28),0,Q28*I28*J28)</f>
        <v>10</v>
      </c>
      <c r="T28" s="219" t="n">
        <f aca="false">IF(ISERROR(Q28*J28),0,Q28*J28)</f>
        <v>1</v>
      </c>
      <c r="U28" s="206" t="str">
        <f aca="false">IF(AND(A28="",F28=0),"",IF(F28=0,"Il manque le(s) % de rec. !",""))</f>
        <v/>
      </c>
      <c r="V28" s="207"/>
      <c r="X28" s="205" t="str">
        <f aca="false">IF(A28="new.cod","NEW.COD",IF(AND((Y28=""),ISTEXT(A28)),A28,IF(Y28="","",INDEX('[1]liste reference'!$A$7:$A$906,Y28))))</f>
        <v>IRIPSE</v>
      </c>
      <c r="Y28" s="8" t="n">
        <f aca="false">IF(ISERROR(MATCH(A28,'[1]liste reference'!$A$7:$A$906,0)),IF(ISERROR(MATCH(A28,'[1]liste reference'!$B$7:$B$906,0)),"",(MATCH(A28,'[1]liste reference'!$B$7:$B$906,0))),(MATCH(A28,'[1]liste reference'!$A$7:$A$906,0)))</f>
        <v>588</v>
      </c>
      <c r="Z28" s="208"/>
      <c r="AA28" s="209"/>
      <c r="BB28" s="8" t="n">
        <f aca="false">IF(A28="","",1)</f>
        <v>1</v>
      </c>
    </row>
    <row r="29" customFormat="false" ht="12.75" hidden="false" customHeight="false" outlineLevel="0" collapsed="false">
      <c r="A29" s="210" t="s">
        <v>80</v>
      </c>
      <c r="B29" s="211" t="n">
        <v>0.02</v>
      </c>
      <c r="C29" s="212"/>
      <c r="D29" s="213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>Lysimachia vulgaris</v>
      </c>
      <c r="E29" s="213" t="e">
        <f aca="false">IF(D29="",,VLOOKUP(D29,D$22:D28,1,0))</f>
        <v>#N/A</v>
      </c>
      <c r="F29" s="214" t="n">
        <f aca="false">($B29*$B$7+$C29*$C$7)/100</f>
        <v>0.02</v>
      </c>
      <c r="G29" s="215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>PHe</v>
      </c>
      <c r="H29" s="198" t="n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8</v>
      </c>
      <c r="I29" s="216" t="str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/>
      </c>
      <c r="J29" s="200" t="str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/>
      </c>
      <c r="K29" s="217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>Lysimachia vulgaris</v>
      </c>
      <c r="L29" s="218"/>
      <c r="M29" s="218"/>
      <c r="N29" s="218"/>
      <c r="O29" s="203"/>
      <c r="P29" s="204" t="n">
        <f aca="false">IF(ISTEXT(H29),"",(B29*$B$7/100)+(C29*$C$7/100))</f>
        <v>0.02</v>
      </c>
      <c r="Q29" s="205" t="n">
        <f aca="false">IF(OR(ISTEXT(H29),P29=0),"",IF(P29&lt;0.1,1,IF(P29&lt;1,2,IF(P29&lt;10,3,IF(P29&lt;50,4,IF(P29&gt;=50,5,""))))))</f>
        <v>1</v>
      </c>
      <c r="R29" s="205" t="n">
        <f aca="false">IF(ISERROR(Q29*I29),0,Q29*I29)</f>
        <v>0</v>
      </c>
      <c r="S29" s="205" t="n">
        <f aca="false">IF(ISERROR(Q29*I29*J29),0,Q29*I29*J29)</f>
        <v>0</v>
      </c>
      <c r="T29" s="219" t="n">
        <f aca="false">IF(ISERROR(Q29*J29),0,Q29*J29)</f>
        <v>0</v>
      </c>
      <c r="U29" s="206" t="str">
        <f aca="false">IF(AND(A29="",F29=0),"",IF(F29=0,"Il manque le(s) % de rec. !",""))</f>
        <v/>
      </c>
      <c r="V29" s="207"/>
      <c r="X29" s="205" t="str">
        <f aca="false">IF(A29="new.cod","NEW.COD",IF(AND((Y29=""),ISTEXT(A29)),A29,IF(Y29="","",INDEX('[1]liste reference'!$A$7:$A$906,Y29))))</f>
        <v>LYSVUL</v>
      </c>
      <c r="Y29" s="8" t="n">
        <f aca="false">IF(ISERROR(MATCH(A29,'[1]liste reference'!$A$7:$A$906,0)),IF(ISERROR(MATCH(A29,'[1]liste reference'!$B$7:$B$906,0)),"",(MATCH(A29,'[1]liste reference'!$B$7:$B$906,0))),(MATCH(A29,'[1]liste reference'!$A$7:$A$906,0)))</f>
        <v>607</v>
      </c>
      <c r="Z29" s="208"/>
      <c r="AA29" s="209"/>
      <c r="BB29" s="8" t="n">
        <f aca="false">IF(A29="","",1)</f>
        <v>1</v>
      </c>
    </row>
    <row r="30" customFormat="false" ht="12.75" hidden="false" customHeight="false" outlineLevel="0" collapsed="false">
      <c r="A30" s="210" t="s">
        <v>81</v>
      </c>
      <c r="B30" s="211" t="n">
        <v>0.001</v>
      </c>
      <c r="C30" s="212"/>
      <c r="D30" s="213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>Mentha arvensis        </v>
      </c>
      <c r="E30" s="213" t="e">
        <f aca="false">IF(D30="",,VLOOKUP(D30,D$21:D29,1,0))</f>
        <v>#N/A</v>
      </c>
      <c r="F30" s="214" t="n">
        <f aca="false">($B30*$B$7+$C30*$C$7)/100</f>
        <v>0.001</v>
      </c>
      <c r="G30" s="215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>PHe</v>
      </c>
      <c r="H30" s="198" t="n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8</v>
      </c>
      <c r="I30" s="216" t="str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/>
      </c>
      <c r="J30" s="200" t="str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/>
      </c>
      <c r="K30" s="217" t="str">
        <f aca="false">IF(A30="NEW.COD",AA30,IF(ISTEXT($E30),"DEJA SAISI !",IF(A30="","",IF(ISERROR(VLOOKUP($A30,'[1]liste reference'!$A$7:$D$906,2,0)),IF(ISERROR(VLOOKUP($A30,'[1]liste reference'!$B$7:$D$906,1,0)),"code non répertorié ou synonyme",VLOOKUP($A30,'[1]liste reference'!$B$7:$D$906,1,0)),VLOOKUP(A30,'[1]liste reference'!$A$7:$D$906,2,0)))))</f>
        <v>Mentha arvensis        </v>
      </c>
      <c r="L30" s="218"/>
      <c r="M30" s="218"/>
      <c r="N30" s="218"/>
      <c r="O30" s="203"/>
      <c r="P30" s="204" t="n">
        <f aca="false">IF(ISTEXT(H30),"",(B30*$B$7/100)+(C30*$C$7/100))</f>
        <v>0.001</v>
      </c>
      <c r="Q30" s="205" t="n">
        <f aca="false">IF(OR(ISTEXT(H30),P30=0),"",IF(P30&lt;0.1,1,IF(P30&lt;1,2,IF(P30&lt;10,3,IF(P30&lt;50,4,IF(P30&gt;=50,5,""))))))</f>
        <v>1</v>
      </c>
      <c r="R30" s="205" t="n">
        <f aca="false">IF(ISERROR(Q30*I30),0,Q30*I30)</f>
        <v>0</v>
      </c>
      <c r="S30" s="205" t="n">
        <f aca="false">IF(ISERROR(Q30*I30*J30),0,Q30*I30*J30)</f>
        <v>0</v>
      </c>
      <c r="T30" s="219" t="n">
        <f aca="false">IF(ISERROR(Q30*J30),0,Q30*J30)</f>
        <v>0</v>
      </c>
      <c r="U30" s="206" t="str">
        <f aca="false">IF(AND(A30="",F30=0),"",IF(F30=0,"Il manque le(s) % de rec. !",""))</f>
        <v/>
      </c>
      <c r="V30" s="207"/>
      <c r="W30" s="222"/>
      <c r="X30" s="205" t="str">
        <f aca="false">IF(A30="new.cod","NEW.COD",IF(AND((Y30=""),ISTEXT(A30)),A30,IF(Y30="","",INDEX('[1]liste reference'!$A$7:$A$906,Y30))))</f>
        <v>MENARV</v>
      </c>
      <c r="Y30" s="8" t="n">
        <f aca="false">IF(ISERROR(MATCH(A30,'[1]liste reference'!$A$7:$A$906,0)),IF(ISERROR(MATCH(A30,'[1]liste reference'!$B$7:$B$906,0)),"",(MATCH(A30,'[1]liste reference'!$B$7:$B$906,0))),(MATCH(A30,'[1]liste reference'!$A$7:$A$906,0)))</f>
        <v>614</v>
      </c>
      <c r="Z30" s="208"/>
      <c r="AA30" s="209"/>
      <c r="BB30" s="8" t="n">
        <f aca="false">IF(A30="","",1)</f>
        <v>1</v>
      </c>
    </row>
    <row r="31" customFormat="false" ht="12.75" hidden="false" customHeight="false" outlineLevel="0" collapsed="false">
      <c r="A31" s="210" t="s">
        <v>82</v>
      </c>
      <c r="B31" s="211" t="n">
        <v>0.5</v>
      </c>
      <c r="C31" s="212"/>
      <c r="D31" s="213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>Phalaris arundinacea</v>
      </c>
      <c r="E31" s="213" t="e">
        <f aca="false">IF(D31="",,VLOOKUP(D31,D$22:D30,1,0))</f>
        <v>#N/A</v>
      </c>
      <c r="F31" s="214" t="n">
        <f aca="false">($B31*$B$7+$C31*$C$7)/100</f>
        <v>0.5</v>
      </c>
      <c r="G31" s="215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>PHe</v>
      </c>
      <c r="H31" s="198" t="n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8</v>
      </c>
      <c r="I31" s="216" t="n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>10</v>
      </c>
      <c r="J31" s="200" t="n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>1</v>
      </c>
      <c r="K31" s="217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>Phalaris arundinacea</v>
      </c>
      <c r="L31" s="218"/>
      <c r="M31" s="218"/>
      <c r="N31" s="218"/>
      <c r="O31" s="203"/>
      <c r="P31" s="204" t="n">
        <f aca="false">IF(ISTEXT(H31),"",(B31*$B$7/100)+(C31*$C$7/100))</f>
        <v>0.5</v>
      </c>
      <c r="Q31" s="205" t="n">
        <f aca="false">IF(OR(ISTEXT(H31),P31=0),"",IF(P31&lt;0.1,1,IF(P31&lt;1,2,IF(P31&lt;10,3,IF(P31&lt;50,4,IF(P31&gt;=50,5,""))))))</f>
        <v>2</v>
      </c>
      <c r="R31" s="205" t="n">
        <f aca="false">IF(ISERROR(Q31*I31),0,Q31*I31)</f>
        <v>20</v>
      </c>
      <c r="S31" s="205" t="n">
        <f aca="false">IF(ISERROR(Q31*I31*J31),0,Q31*I31*J31)</f>
        <v>20</v>
      </c>
      <c r="T31" s="219" t="n">
        <f aca="false">IF(ISERROR(Q31*J31),0,Q31*J31)</f>
        <v>2</v>
      </c>
      <c r="U31" s="206" t="str">
        <f aca="false">IF(AND(A31="",F31=0),"",IF(F31=0,"Il manque le(s) % de rec. !",""))</f>
        <v/>
      </c>
      <c r="V31" s="207"/>
      <c r="X31" s="205" t="str">
        <f aca="false">IF(A31="new.cod","NEW.COD",IF(AND((Y31=""),ISTEXT(A31)),A31,IF(Y31="","",INDEX('[1]liste reference'!$A$7:$A$906,Y31))))</f>
        <v>PHAARU</v>
      </c>
      <c r="Y31" s="8" t="n">
        <f aca="false">IF(ISERROR(MATCH(A31,'[1]liste reference'!$A$7:$A$906,0)),IF(ISERROR(MATCH(A31,'[1]liste reference'!$B$7:$B$906,0)),"",(MATCH(A31,'[1]liste reference'!$B$7:$B$906,0))),(MATCH(A31,'[1]liste reference'!$A$7:$A$906,0)))</f>
        <v>640</v>
      </c>
      <c r="Z31" s="208"/>
      <c r="AA31" s="209"/>
      <c r="BB31" s="8" t="n">
        <f aca="false">IF(A31="","",1)</f>
        <v>1</v>
      </c>
    </row>
    <row r="32" customFormat="false" ht="12.75" hidden="false" customHeight="false" outlineLevel="0" collapsed="false">
      <c r="A32" s="210" t="s">
        <v>83</v>
      </c>
      <c r="B32" s="211" t="n">
        <v>0.01</v>
      </c>
      <c r="C32" s="212"/>
      <c r="D32" s="213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>Rorippa sp.</v>
      </c>
      <c r="E32" s="213" t="e">
        <f aca="false">IF(D32="",,VLOOKUP(D32,D$22:D31,1,0))</f>
        <v>#N/A</v>
      </c>
      <c r="F32" s="214" t="n">
        <f aca="false">($B32*$B$7+$C32*$C$7)/100</f>
        <v>0.01</v>
      </c>
      <c r="G32" s="215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>PHe</v>
      </c>
      <c r="H32" s="198" t="n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8</v>
      </c>
      <c r="I32" s="216" t="str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/>
      </c>
      <c r="J32" s="200" t="str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/>
      </c>
      <c r="K32" s="217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>Rorippa sp.</v>
      </c>
      <c r="L32" s="218"/>
      <c r="M32" s="218"/>
      <c r="N32" s="218"/>
      <c r="O32" s="203" t="s">
        <v>78</v>
      </c>
      <c r="P32" s="204" t="n">
        <f aca="false">IF(ISTEXT(H32),"",(B32*$B$7/100)+(C32*$C$7/100))</f>
        <v>0.01</v>
      </c>
      <c r="Q32" s="205" t="n">
        <f aca="false">IF(OR(ISTEXT(H32),P32=0),"",IF(P32&lt;0.1,1,IF(P32&lt;1,2,IF(P32&lt;10,3,IF(P32&lt;50,4,IF(P32&gt;=50,5,""))))))</f>
        <v>1</v>
      </c>
      <c r="R32" s="205" t="n">
        <f aca="false">IF(ISERROR(Q32*I32),0,Q32*I32)</f>
        <v>0</v>
      </c>
      <c r="S32" s="205" t="n">
        <f aca="false">IF(ISERROR(Q32*I32*J32),0,Q32*I32*J32)</f>
        <v>0</v>
      </c>
      <c r="T32" s="219" t="n">
        <f aca="false">IF(ISERROR(Q32*J32),0,Q32*J32)</f>
        <v>0</v>
      </c>
      <c r="U32" s="206" t="str">
        <f aca="false">IF(AND(A32="",F32=0),"",IF(F32=0,"Il manque le(s) % de rec. !",""))</f>
        <v/>
      </c>
      <c r="V32" s="207"/>
      <c r="X32" s="205" t="str">
        <f aca="false">IF(A32="new.cod","NEW.COD",IF(AND((Y32=""),ISTEXT(A32)),A32,IF(Y32="","",INDEX('[1]liste reference'!$A$7:$A$906,Y32))))</f>
        <v>RORSPX</v>
      </c>
      <c r="Y32" s="8" t="n">
        <f aca="false">IF(ISERROR(MATCH(A32,'[1]liste reference'!$A$7:$A$906,0)),IF(ISERROR(MATCH(A32,'[1]liste reference'!$B$7:$B$906,0)),"",(MATCH(A32,'[1]liste reference'!$B$7:$B$906,0))),(MATCH(A32,'[1]liste reference'!$A$7:$A$906,0)))</f>
        <v>655</v>
      </c>
      <c r="Z32" s="208" t="s">
        <v>78</v>
      </c>
      <c r="AA32" s="209" t="s">
        <v>84</v>
      </c>
      <c r="BB32" s="8" t="n">
        <f aca="false">IF(A32="","",1)</f>
        <v>1</v>
      </c>
    </row>
    <row r="33" customFormat="false" ht="12.75" hidden="false" customHeight="false" outlineLevel="0" collapsed="false">
      <c r="A33" s="210" t="s">
        <v>85</v>
      </c>
      <c r="B33" s="211" t="n">
        <v>0.02</v>
      </c>
      <c r="C33" s="212"/>
      <c r="D33" s="213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>Deschampsia cespitosa</v>
      </c>
      <c r="E33" s="213" t="e">
        <f aca="false">IF(D33="",,VLOOKUP(D33,D$22:D32,1,0))</f>
        <v>#N/A</v>
      </c>
      <c r="F33" s="214" t="n">
        <f aca="false">($B33*$B$7+$C33*$C$7)/100</f>
        <v>0.02</v>
      </c>
      <c r="G33" s="215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>PHg</v>
      </c>
      <c r="H33" s="198" t="n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9</v>
      </c>
      <c r="I33" s="216" t="str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/>
      </c>
      <c r="J33" s="200" t="str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/>
      </c>
      <c r="K33" s="217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>Deschampsia cespitosa</v>
      </c>
      <c r="L33" s="218"/>
      <c r="M33" s="218"/>
      <c r="N33" s="218"/>
      <c r="O33" s="203"/>
      <c r="P33" s="204" t="n">
        <f aca="false">IF(ISTEXT(H33),"",(B33*$B$7/100)+(C33*$C$7/100))</f>
        <v>0.02</v>
      </c>
      <c r="Q33" s="205" t="n">
        <f aca="false">IF(OR(ISTEXT(H33),P33=0),"",IF(P33&lt;0.1,1,IF(P33&lt;1,2,IF(P33&lt;10,3,IF(P33&lt;50,4,IF(P33&gt;=50,5,""))))))</f>
        <v>1</v>
      </c>
      <c r="R33" s="205" t="n">
        <f aca="false">IF(ISERROR(Q33*I33),0,Q33*I33)</f>
        <v>0</v>
      </c>
      <c r="S33" s="205" t="n">
        <f aca="false">IF(ISERROR(Q33*I33*J33),0,Q33*I33*J33)</f>
        <v>0</v>
      </c>
      <c r="T33" s="219" t="n">
        <f aca="false">IF(ISERROR(Q33*J33),0,Q33*J33)</f>
        <v>0</v>
      </c>
      <c r="U33" s="206" t="str">
        <f aca="false">IF(AND(A33="",F33=0),"",IF(F33=0,"Il manque le(s) % de rec. !",""))</f>
        <v/>
      </c>
      <c r="V33" s="207"/>
      <c r="X33" s="205" t="str">
        <f aca="false">IF(A33="new.cod","NEW.COD",IF(AND((Y33=""),ISTEXT(A33)),A33,IF(Y33="","",INDEX('[1]liste reference'!$A$7:$A$906,Y33))))</f>
        <v>DESCES</v>
      </c>
      <c r="Y33" s="8" t="n">
        <f aca="false">IF(ISERROR(MATCH(A33,'[1]liste reference'!$A$7:$A$906,0)),IF(ISERROR(MATCH(A33,'[1]liste reference'!$B$7:$B$906,0)),"",(MATCH(A33,'[1]liste reference'!$B$7:$B$906,0))),(MATCH(A33,'[1]liste reference'!$A$7:$A$906,0)))</f>
        <v>734</v>
      </c>
      <c r="Z33" s="208"/>
      <c r="AA33" s="209"/>
      <c r="BB33" s="8" t="n">
        <f aca="false">IF(A33="","",1)</f>
        <v>1</v>
      </c>
    </row>
    <row r="34" customFormat="false" ht="12.75" hidden="false" customHeight="false" outlineLevel="0" collapsed="false">
      <c r="A34" s="210" t="s">
        <v>86</v>
      </c>
      <c r="B34" s="211" t="n">
        <v>0.001</v>
      </c>
      <c r="C34" s="212"/>
      <c r="D34" s="213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>Myosoton aquaticum</v>
      </c>
      <c r="E34" s="213" t="e">
        <f aca="false">IF(D34="",,VLOOKUP(D34,D$22:D33,1,0))</f>
        <v>#N/A</v>
      </c>
      <c r="F34" s="223" t="n">
        <f aca="false">($B34*$B$7+$C34*$C$7)/100</f>
        <v>0.001</v>
      </c>
      <c r="G34" s="215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>PHg</v>
      </c>
      <c r="H34" s="198" t="n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9</v>
      </c>
      <c r="I34" s="216" t="str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/>
      </c>
      <c r="J34" s="200" t="str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/>
      </c>
      <c r="K34" s="217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>Myosoton aquaticum</v>
      </c>
      <c r="L34" s="218"/>
      <c r="M34" s="218"/>
      <c r="N34" s="218"/>
      <c r="O34" s="203"/>
      <c r="P34" s="204" t="n">
        <f aca="false">IF(ISTEXT(H34),"",(B34*$B$7/100)+(C34*$C$7/100))</f>
        <v>0.001</v>
      </c>
      <c r="Q34" s="205" t="n">
        <f aca="false">IF(OR(ISTEXT(H34),P34=0),"",IF(P34&lt;0.1,1,IF(P34&lt;1,2,IF(P34&lt;10,3,IF(P34&lt;50,4,IF(P34&gt;=50,5,""))))))</f>
        <v>1</v>
      </c>
      <c r="R34" s="205" t="n">
        <f aca="false">IF(ISERROR(Q34*I34),0,Q34*I34)</f>
        <v>0</v>
      </c>
      <c r="S34" s="205" t="n">
        <f aca="false">IF(ISERROR(Q34*I34*J34),0,Q34*I34*J34)</f>
        <v>0</v>
      </c>
      <c r="T34" s="219" t="n">
        <f aca="false">IF(ISERROR(Q34*J34),0,Q34*J34)</f>
        <v>0</v>
      </c>
      <c r="U34" s="206" t="str">
        <f aca="false">IF(AND(A34="",F34=0),"",IF(F34=0,"Il manque le(s) % de rec. !",""))</f>
        <v/>
      </c>
      <c r="V34" s="207"/>
      <c r="X34" s="205" t="str">
        <f aca="false">IF(A34="new.cod","NEW.COD",IF(AND((Y34=""),ISTEXT(A34)),A34,IF(Y34="","",INDEX('[1]liste reference'!$A$7:$A$906,Y34))))</f>
        <v>MYSAQU</v>
      </c>
      <c r="Y34" s="8" t="n">
        <f aca="false">IF(ISERROR(MATCH(A34,'[1]liste reference'!$A$7:$A$906,0)),IF(ISERROR(MATCH(A34,'[1]liste reference'!$B$7:$B$906,0)),"",(MATCH(A34,'[1]liste reference'!$B$7:$B$906,0))),(MATCH(A34,'[1]liste reference'!$A$7:$A$906,0)))</f>
        <v>789</v>
      </c>
      <c r="Z34" s="208"/>
      <c r="AA34" s="209"/>
      <c r="BB34" s="8" t="n">
        <f aca="false">IF(A34="","",1)</f>
        <v>1</v>
      </c>
    </row>
    <row r="35" customFormat="false" ht="12.75" hidden="false" customHeight="false" outlineLevel="0" collapsed="false">
      <c r="A35" s="210" t="s">
        <v>87</v>
      </c>
      <c r="B35" s="211" t="n">
        <v>0.001</v>
      </c>
      <c r="C35" s="212"/>
      <c r="D35" s="213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>Ranunculus repens</v>
      </c>
      <c r="E35" s="213" t="e">
        <f aca="false">IF(D35="",,VLOOKUP(D35,D$22:D34,1,0))</f>
        <v>#N/A</v>
      </c>
      <c r="F35" s="223" t="n">
        <f aca="false">($B35*$B$7+$C35*$C$7)/100</f>
        <v>0.001</v>
      </c>
      <c r="G35" s="215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>PHg</v>
      </c>
      <c r="H35" s="198" t="n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9</v>
      </c>
      <c r="I35" s="216" t="str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/>
      </c>
      <c r="J35" s="200" t="str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/>
      </c>
      <c r="K35" s="217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>Ranunculus repens</v>
      </c>
      <c r="L35" s="220"/>
      <c r="M35" s="220"/>
      <c r="N35" s="220"/>
      <c r="O35" s="221"/>
      <c r="P35" s="204" t="n">
        <f aca="false">IF(ISTEXT(H35),"",(B35*$B$7/100)+(C35*$C$7/100))</f>
        <v>0.001</v>
      </c>
      <c r="Q35" s="205" t="n">
        <f aca="false">IF(OR(ISTEXT(H35),P35=0),"",IF(P35&lt;0.1,1,IF(P35&lt;1,2,IF(P35&lt;10,3,IF(P35&lt;50,4,IF(P35&gt;=50,5,""))))))</f>
        <v>1</v>
      </c>
      <c r="R35" s="205" t="n">
        <f aca="false">IF(ISERROR(Q35*I35),0,Q35*I35)</f>
        <v>0</v>
      </c>
      <c r="S35" s="205" t="n">
        <f aca="false">IF(ISERROR(Q35*I35*J35),0,Q35*I35*J35)</f>
        <v>0</v>
      </c>
      <c r="T35" s="219" t="n">
        <f aca="false">IF(ISERROR(Q35*J35),0,Q35*J35)</f>
        <v>0</v>
      </c>
      <c r="U35" s="206" t="str">
        <f aca="false">IF(AND(A35="",F35=0),"",IF(F35=0,"Il manque le(s) % de rec. !",""))</f>
        <v/>
      </c>
      <c r="V35" s="207"/>
      <c r="X35" s="205" t="str">
        <f aca="false">IF(A35="new.cod","NEW.COD",IF(AND((Y35=""),ISTEXT(A35)),A35,IF(Y35="","",INDEX('[1]liste reference'!$A$7:$A$906,Y35))))</f>
        <v>RANREP</v>
      </c>
      <c r="Y35" s="8" t="n">
        <f aca="false">IF(ISERROR(MATCH(A35,'[1]liste reference'!$A$7:$A$906,0)),IF(ISERROR(MATCH(A35,'[1]liste reference'!$B$7:$B$906,0)),"",(MATCH(A35,'[1]liste reference'!$B$7:$B$906,0))),(MATCH(A35,'[1]liste reference'!$A$7:$A$906,0)))</f>
        <v>810</v>
      </c>
      <c r="Z35" s="208"/>
      <c r="AA35" s="209"/>
      <c r="BB35" s="8" t="n">
        <f aca="false">IF(A35="","",1)</f>
        <v>1</v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/>
      </c>
      <c r="E36" s="213" t="n">
        <f aca="false">IF(D36="",,VLOOKUP(D36,D$22:D35,1,0))</f>
        <v>0</v>
      </c>
      <c r="F36" s="223" t="n">
        <f aca="false">($B36*$B$7+$C36*$C$7)/100</f>
        <v>0</v>
      </c>
      <c r="G36" s="215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/>
      </c>
      <c r="H36" s="198" t="str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x</v>
      </c>
      <c r="I36" s="216" t="str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/>
      </c>
      <c r="J36" s="200" t="str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/>
      </c>
      <c r="K36" s="217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/>
      </c>
      <c r="L36" s="218"/>
      <c r="M36" s="218"/>
      <c r="N36" s="218"/>
      <c r="O36" s="203"/>
      <c r="P36" s="204" t="str">
        <f aca="false">IF(ISTEXT(H36),"",(B36*$B$7/100)+(C36*$C$7/100))</f>
        <v/>
      </c>
      <c r="Q36" s="205" t="str">
        <f aca="false">IF(OR(ISTEXT(H36),P36=0),"",IF(P36&lt;0.1,1,IF(P36&lt;1,2,IF(P36&lt;10,3,IF(P36&lt;50,4,IF(P36&gt;=50,5,""))))))</f>
        <v/>
      </c>
      <c r="R36" s="205" t="n">
        <f aca="false">IF(ISERROR(Q36*I36),0,Q36*I36)</f>
        <v>0</v>
      </c>
      <c r="S36" s="205" t="n">
        <f aca="false">IF(ISERROR(Q36*I36*J36),0,Q36*I36*J36)</f>
        <v>0</v>
      </c>
      <c r="T36" s="219" t="n">
        <f aca="false">IF(ISERROR(Q36*J36),0,Q36*J36)</f>
        <v>0</v>
      </c>
      <c r="U36" s="206" t="str">
        <f aca="false">IF(AND(A36="",F36=0),"",IF(F36=0,"Il manque le(s) % de rec. !",""))</f>
        <v/>
      </c>
      <c r="V36" s="207"/>
      <c r="W36" s="207"/>
      <c r="X36" s="205" t="str">
        <f aca="false">IF(A36="new.cod","NEW.COD",IF(AND((Y36=""),ISTEXT(A36)),A36,IF(Y36="","",INDEX('[1]liste reference'!$A$7:$A$906,Y36))))</f>
        <v/>
      </c>
      <c r="Y36" s="8" t="str">
        <f aca="false">IF(ISERROR(MATCH(A36,'[1]liste reference'!$A$7:$A$906,0)),IF(ISERROR(MATCH(A36,'[1]liste reference'!$B$7:$B$906,0)),"",(MATCH(A36,'[1]liste reference'!$B$7:$B$906,0))),(MATCH(A36,'[1]liste reference'!$A$7:$A$906,0)))</f>
        <v/>
      </c>
      <c r="Z36" s="208"/>
      <c r="AA36" s="209"/>
      <c r="BB36" s="8" t="str">
        <f aca="false">IF(A36="","",1)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/>
      </c>
      <c r="E37" s="213" t="n">
        <f aca="false">IF(D37="",,VLOOKUP(D37,D$22:D36,1,0))</f>
        <v>0</v>
      </c>
      <c r="F37" s="223" t="n">
        <f aca="false">($B37*$B$7+$C37*$C$7)/100</f>
        <v>0</v>
      </c>
      <c r="G37" s="215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/>
      </c>
      <c r="H37" s="198" t="str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x</v>
      </c>
      <c r="I37" s="216" t="str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/>
      </c>
      <c r="J37" s="200" t="str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/>
      </c>
      <c r="K37" s="217" t="str">
        <f aca="false">IF(A37="NEW.COD",AA37,IF(ISTEXT($E37),"DEJA SAISI !",IF(A37="","",IF(ISERROR(VLOOKUP($A37,'[1]liste reference'!$A$7:$D$906,2,0)),IF(ISERROR(VLOOKUP($A37,'[1]liste reference'!$B$7:$D$906,1,0)),"code non répertorié ou synonyme",VLOOKUP($A37,'[1]liste reference'!$B$7:$D$906,1,0)),VLOOKUP(A37,'[1]liste reference'!$A$7:$D$906,2,0)))))</f>
        <v/>
      </c>
      <c r="L37" s="218"/>
      <c r="M37" s="218"/>
      <c r="N37" s="218"/>
      <c r="O37" s="203"/>
      <c r="P37" s="204" t="str">
        <f aca="false">IF(ISTEXT(H37),"",(B37*$B$7/100)+(C37*$C$7/100))</f>
        <v/>
      </c>
      <c r="Q37" s="205" t="str">
        <f aca="false">IF(OR(ISTEXT(H37),P37=0),"",IF(P37&lt;0.1,1,IF(P37&lt;1,2,IF(P37&lt;10,3,IF(P37&lt;50,4,IF(P37&gt;=50,5,""))))))</f>
        <v/>
      </c>
      <c r="R37" s="205" t="n">
        <f aca="false">IF(ISERROR(Q37*I37),0,Q37*I37)</f>
        <v>0</v>
      </c>
      <c r="S37" s="205" t="n">
        <f aca="false">IF(ISERROR(Q37*I37*J37),0,Q37*I37*J37)</f>
        <v>0</v>
      </c>
      <c r="T37" s="219" t="n">
        <f aca="false">IF(ISERROR(Q37*J37),0,Q37*J37)</f>
        <v>0</v>
      </c>
      <c r="U37" s="206" t="str">
        <f aca="false">IF(AND(A37="",F37=0),"",IF(F37=0,"Il manque le(s) % de rec. !",""))</f>
        <v/>
      </c>
      <c r="V37" s="207"/>
      <c r="X37" s="205" t="str">
        <f aca="false">IF(A37="new.cod","NEW.COD",IF(AND((Y37=""),ISTEXT(A37)),A37,IF(Y37="","",INDEX('[1]liste reference'!$A$7:$A$906,Y37))))</f>
        <v/>
      </c>
      <c r="Y37" s="8" t="str">
        <f aca="false">IF(ISERROR(MATCH(A37,'[1]liste reference'!$A$7:$A$906,0)),IF(ISERROR(MATCH(A37,'[1]liste reference'!$B$7:$B$906,0)),"",(MATCH(A37,'[1]liste reference'!$B$7:$B$906,0))),(MATCH(A37,'[1]liste reference'!$A$7:$A$906,0)))</f>
        <v/>
      </c>
      <c r="Z37" s="208"/>
      <c r="AA37" s="209"/>
      <c r="BB37" s="8" t="str">
        <f aca="false">IF(A37="","",1)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/>
      </c>
      <c r="E38" s="213" t="n">
        <f aca="false">IF(D38="",,VLOOKUP(D38,D$22:D37,1,0))</f>
        <v>0</v>
      </c>
      <c r="F38" s="223" t="n">
        <f aca="false">($B38*$B$7+$C38*$C$7)/100</f>
        <v>0</v>
      </c>
      <c r="G38" s="215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/>
      </c>
      <c r="H38" s="198" t="str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x</v>
      </c>
      <c r="I38" s="216" t="str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/>
      </c>
      <c r="J38" s="200" t="str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/>
      </c>
      <c r="K38" s="217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/>
      </c>
      <c r="L38" s="218"/>
      <c r="M38" s="218"/>
      <c r="N38" s="218"/>
      <c r="O38" s="203"/>
      <c r="P38" s="204" t="str">
        <f aca="false">IF(ISTEXT(H38),"",(B38*$B$7/100)+(C38*$C$7/100))</f>
        <v/>
      </c>
      <c r="Q38" s="205" t="str">
        <f aca="false">IF(OR(ISTEXT(H38),P38=0),"",IF(P38&lt;0.1,1,IF(P38&lt;1,2,IF(P38&lt;10,3,IF(P38&lt;50,4,IF(P38&gt;=50,5,""))))))</f>
        <v/>
      </c>
      <c r="R38" s="205" t="n">
        <f aca="false">IF(ISERROR(Q38*I38),0,Q38*I38)</f>
        <v>0</v>
      </c>
      <c r="S38" s="205" t="n">
        <f aca="false">IF(ISERROR(Q38*I38*J38),0,Q38*I38*J38)</f>
        <v>0</v>
      </c>
      <c r="T38" s="219" t="n">
        <f aca="false">IF(ISERROR(Q38*J38),0,Q38*J38)</f>
        <v>0</v>
      </c>
      <c r="U38" s="206" t="str">
        <f aca="false">IF(AND(A38="",F38=0),"",IF(F38=0,"Il manque le(s) % de rec. !",""))</f>
        <v/>
      </c>
      <c r="V38" s="207"/>
      <c r="W38" s="207"/>
      <c r="X38" s="205" t="str">
        <f aca="false">IF(A38="new.cod","NEW.COD",IF(AND((Y38=""),ISTEXT(A38)),A38,IF(Y38="","",INDEX('[1]liste reference'!$A$7:$A$906,Y38))))</f>
        <v/>
      </c>
      <c r="Y38" s="8" t="str">
        <f aca="false">IF(ISERROR(MATCH(A38,'[1]liste reference'!$A$7:$A$906,0)),IF(ISERROR(MATCH(A38,'[1]liste reference'!$B$7:$B$906,0)),"",(MATCH(A38,'[1]liste reference'!$B$7:$B$906,0))),(MATCH(A38,'[1]liste reference'!$A$7:$A$906,0)))</f>
        <v/>
      </c>
      <c r="Z38" s="208"/>
      <c r="AA38" s="209"/>
      <c r="BB38" s="8" t="str">
        <f aca="false">IF(A38="","",1)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/>
      </c>
      <c r="E39" s="213" t="n">
        <f aca="false">IF(D39="",,VLOOKUP(D39,D$22:D38,1,0))</f>
        <v>0</v>
      </c>
      <c r="F39" s="223" t="n">
        <f aca="false">($B39*$B$7+$C39*$C$7)/100</f>
        <v>0</v>
      </c>
      <c r="G39" s="215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/>
      </c>
      <c r="H39" s="198" t="str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x</v>
      </c>
      <c r="I39" s="216" t="str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/>
      </c>
      <c r="J39" s="200" t="str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/>
      </c>
      <c r="K39" s="217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/>
      </c>
      <c r="L39" s="218"/>
      <c r="M39" s="218"/>
      <c r="N39" s="218"/>
      <c r="O39" s="203"/>
      <c r="P39" s="204" t="str">
        <f aca="false">IF(ISTEXT(H39),"",(B39*$B$7/100)+(C39*$C$7/100))</f>
        <v/>
      </c>
      <c r="Q39" s="205" t="str">
        <f aca="false">IF(OR(ISTEXT(H39),P39=0),"",IF(P39&lt;0.1,1,IF(P39&lt;1,2,IF(P39&lt;10,3,IF(P39&lt;50,4,IF(P39&gt;=50,5,""))))))</f>
        <v/>
      </c>
      <c r="R39" s="205" t="n">
        <f aca="false">IF(ISERROR(Q39*I39),0,Q39*I39)</f>
        <v>0</v>
      </c>
      <c r="S39" s="205" t="n">
        <f aca="false">IF(ISERROR(Q39*I39*J39),0,Q39*I39*J39)</f>
        <v>0</v>
      </c>
      <c r="T39" s="219" t="n">
        <f aca="false">IF(ISERROR(Q39*J39),0,Q39*J39)</f>
        <v>0</v>
      </c>
      <c r="U39" s="206" t="str">
        <f aca="false">IF(AND(A39="",F39=0),"",IF(F39=0,"Il manque le(s) % de rec. !",""))</f>
        <v/>
      </c>
      <c r="V39" s="224"/>
      <c r="X39" s="205" t="str">
        <f aca="false">IF(A39="new.cod","NEW.COD",IF(AND((Y39=""),ISTEXT(A39)),A39,IF(Y39="","",INDEX('[1]liste reference'!$A$7:$A$906,Y39))))</f>
        <v/>
      </c>
      <c r="Y39" s="8" t="str">
        <f aca="false">IF(ISERROR(MATCH(A39,'[1]liste reference'!$A$7:$A$906,0)),IF(ISERROR(MATCH(A39,'[1]liste reference'!$B$7:$B$906,0)),"",(MATCH(A39,'[1]liste reference'!$B$7:$B$906,0))),(MATCH(A39,'[1]liste reference'!$A$7:$A$906,0)))</f>
        <v/>
      </c>
      <c r="Z39" s="208"/>
      <c r="AA39" s="209"/>
      <c r="BB39" s="8" t="str">
        <f aca="false">IF(A39="","",1)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/>
      </c>
      <c r="E40" s="213" t="n">
        <f aca="false">IF(D40="",,VLOOKUP(D40,D$22:D39,1,0))</f>
        <v>0</v>
      </c>
      <c r="F40" s="223" t="n">
        <f aca="false">($B40*$B$7+$C40*$C$7)/100</f>
        <v>0</v>
      </c>
      <c r="G40" s="215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/>
      </c>
      <c r="H40" s="198" t="str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x</v>
      </c>
      <c r="I40" s="216" t="str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/>
      </c>
      <c r="J40" s="200" t="str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/>
      </c>
      <c r="K40" s="217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/>
      </c>
      <c r="L40" s="218"/>
      <c r="M40" s="218"/>
      <c r="N40" s="218"/>
      <c r="O40" s="203"/>
      <c r="P40" s="204" t="str">
        <f aca="false">IF(ISTEXT(H40),"",(B40*$B$7/100)+(C40*$C$7/100))</f>
        <v/>
      </c>
      <c r="Q40" s="205" t="str">
        <f aca="false">IF(OR(ISTEXT(H40),P40=0),"",IF(P40&lt;0.1,1,IF(P40&lt;1,2,IF(P40&lt;10,3,IF(P40&lt;50,4,IF(P40&gt;=50,5,""))))))</f>
        <v/>
      </c>
      <c r="R40" s="205" t="n">
        <f aca="false">IF(ISERROR(Q40*I40),0,Q40*I40)</f>
        <v>0</v>
      </c>
      <c r="S40" s="205" t="n">
        <f aca="false">IF(ISERROR(Q40*I40*J40),0,Q40*I40*J40)</f>
        <v>0</v>
      </c>
      <c r="T40" s="219" t="n">
        <f aca="false">IF(ISERROR(Q40*J40),0,Q40*J40)</f>
        <v>0</v>
      </c>
      <c r="U40" s="206" t="str">
        <f aca="false">IF(AND(A40="",F40=0),"",IF(F40=0,"Il manque le(s) % de rec. !",""))</f>
        <v/>
      </c>
      <c r="V40" s="207"/>
      <c r="X40" s="205" t="str">
        <f aca="false">IF(A40="new.cod","NEW.COD",IF(AND((Y40=""),ISTEXT(A40)),A40,IF(Y40="","",INDEX('[1]liste reference'!$A$7:$A$906,Y40))))</f>
        <v/>
      </c>
      <c r="Y40" s="8" t="str">
        <f aca="false">IF(ISERROR(MATCH(A40,'[1]liste reference'!$A$7:$A$906,0)),IF(ISERROR(MATCH(A40,'[1]liste reference'!$B$7:$B$906,0)),"",(MATCH(A40,'[1]liste reference'!$B$7:$B$906,0))),(MATCH(A40,'[1]liste reference'!$A$7:$A$906,0)))</f>
        <v/>
      </c>
      <c r="Z40" s="208"/>
      <c r="AA40" s="209"/>
      <c r="BB40" s="8" t="str">
        <f aca="false">IF(A40="","",1)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/>
      </c>
      <c r="E41" s="213" t="n">
        <f aca="false">IF(D41="",,VLOOKUP(D41,D$22:D40,1,0))</f>
        <v>0</v>
      </c>
      <c r="F41" s="223" t="n">
        <f aca="false">($B41*$B$7+$C41*$C$7)/100</f>
        <v>0</v>
      </c>
      <c r="G41" s="215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/>
      </c>
      <c r="H41" s="198" t="str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x</v>
      </c>
      <c r="I41" s="216" t="str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/>
      </c>
      <c r="J41" s="200" t="str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/>
      </c>
      <c r="K41" s="217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/>
      </c>
      <c r="L41" s="218"/>
      <c r="M41" s="218"/>
      <c r="N41" s="218"/>
      <c r="O41" s="203"/>
      <c r="P41" s="204" t="str">
        <f aca="false">IF(ISTEXT(H41),"",(B41*$B$7/100)+(C41*$C$7/100))</f>
        <v/>
      </c>
      <c r="Q41" s="205" t="str">
        <f aca="false">IF(OR(ISTEXT(H41),P41=0),"",IF(P41&lt;0.1,1,IF(P41&lt;1,2,IF(P41&lt;10,3,IF(P41&lt;50,4,IF(P41&gt;=50,5,""))))))</f>
        <v/>
      </c>
      <c r="R41" s="205" t="n">
        <f aca="false">IF(ISERROR(Q41*I41),0,Q41*I41)</f>
        <v>0</v>
      </c>
      <c r="S41" s="205" t="n">
        <f aca="false">IF(ISERROR(Q41*I41*J41),0,Q41*I41*J41)</f>
        <v>0</v>
      </c>
      <c r="T41" s="219" t="n">
        <f aca="false">IF(ISERROR(Q41*J41),0,Q41*J41)</f>
        <v>0</v>
      </c>
      <c r="U41" s="206" t="str">
        <f aca="false">IF(AND(A41="",F41=0),"",IF(F41=0,"Il manque le(s) % de rec. !",""))</f>
        <v/>
      </c>
      <c r="V41" s="207"/>
      <c r="X41" s="205" t="str">
        <f aca="false">IF(A41="new.cod","NEW.COD",IF(AND((Y41=""),ISTEXT(A41)),A41,IF(Y41="","",INDEX('[1]liste reference'!$A$7:$A$906,Y41))))</f>
        <v/>
      </c>
      <c r="Y41" s="8" t="str">
        <f aca="false">IF(ISERROR(MATCH(A41,'[1]liste reference'!$A$7:$A$906,0)),IF(ISERROR(MATCH(A41,'[1]liste reference'!$B$7:$B$906,0)),"",(MATCH(A41,'[1]liste reference'!$B$7:$B$906,0))),(MATCH(A41,'[1]liste reference'!$A$7:$A$906,0)))</f>
        <v/>
      </c>
      <c r="Z41" s="208"/>
      <c r="AA41" s="209"/>
      <c r="BB41" s="8" t="str">
        <f aca="false">IF(A41="","",1)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/>
      </c>
      <c r="E42" s="213" t="n">
        <f aca="false">IF(D42="",,VLOOKUP(D42,D$22:D41,1,0))</f>
        <v>0</v>
      </c>
      <c r="F42" s="223" t="n">
        <f aca="false">($B42*$B$7+$C42*$C$7)/100</f>
        <v>0</v>
      </c>
      <c r="G42" s="215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/>
      </c>
      <c r="H42" s="198" t="str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x</v>
      </c>
      <c r="I42" s="216" t="str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/>
      </c>
      <c r="J42" s="200" t="str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/>
      </c>
      <c r="K42" s="217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/>
      </c>
      <c r="L42" s="218"/>
      <c r="M42" s="218"/>
      <c r="N42" s="218"/>
      <c r="O42" s="203"/>
      <c r="P42" s="204" t="str">
        <f aca="false">IF(ISTEXT(H42),"",(B42*$B$7/100)+(C42*$C$7/100))</f>
        <v/>
      </c>
      <c r="Q42" s="205" t="str">
        <f aca="false">IF(OR(ISTEXT(H42),P42=0),"",IF(P42&lt;0.1,1,IF(P42&lt;1,2,IF(P42&lt;10,3,IF(P42&lt;50,4,IF(P42&gt;=50,5,""))))))</f>
        <v/>
      </c>
      <c r="R42" s="205" t="n">
        <f aca="false">IF(ISERROR(Q42*I42),0,Q42*I42)</f>
        <v>0</v>
      </c>
      <c r="S42" s="205" t="n">
        <f aca="false">IF(ISERROR(Q42*I42*J42),0,Q42*I42*J42)</f>
        <v>0</v>
      </c>
      <c r="T42" s="219" t="n">
        <f aca="false">IF(ISERROR(Q42*J42),0,Q42*J42)</f>
        <v>0</v>
      </c>
      <c r="U42" s="206" t="str">
        <f aca="false">IF(AND(A42="",F42=0),"",IF(F42=0,"Il manque le(s) % de rec. !",""))</f>
        <v/>
      </c>
      <c r="V42" s="207"/>
      <c r="X42" s="205" t="str">
        <f aca="false">IF(A42="new.cod","NEW.COD",IF(AND((Y42=""),ISTEXT(A42)),A42,IF(Y42="","",INDEX('[1]liste reference'!$A$7:$A$906,Y42))))</f>
        <v/>
      </c>
      <c r="Y42" s="8" t="str">
        <f aca="false">IF(ISERROR(MATCH(A42,'[1]liste reference'!$A$7:$A$906,0)),IF(ISERROR(MATCH(A42,'[1]liste reference'!$B$7:$B$906,0)),"",(MATCH(A42,'[1]liste reference'!$B$7:$B$906,0))),(MATCH(A42,'[1]liste reference'!$A$7:$A$906,0)))</f>
        <v/>
      </c>
      <c r="Z42" s="208"/>
      <c r="AA42" s="209"/>
      <c r="BB42" s="8" t="str">
        <f aca="false">IF(A42="","",1)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/>
      </c>
      <c r="E43" s="213" t="n">
        <f aca="false">IF(D43="",,VLOOKUP(D43,D$22:D42,1,0))</f>
        <v>0</v>
      </c>
      <c r="F43" s="223" t="n">
        <f aca="false">($B43*$B$7+$C43*$C$7)/100</f>
        <v>0</v>
      </c>
      <c r="G43" s="215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/>
      </c>
      <c r="H43" s="198" t="str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x</v>
      </c>
      <c r="I43" s="216" t="str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/>
      </c>
      <c r="J43" s="200" t="str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/>
      </c>
      <c r="K43" s="217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/>
      </c>
      <c r="L43" s="218"/>
      <c r="M43" s="218"/>
      <c r="N43" s="218"/>
      <c r="O43" s="203"/>
      <c r="P43" s="204" t="str">
        <f aca="false">IF(ISTEXT(H43),"",(B43*$B$7/100)+(C43*$C$7/100))</f>
        <v/>
      </c>
      <c r="Q43" s="205" t="str">
        <f aca="false">IF(OR(ISTEXT(H43),P43=0),"",IF(P43&lt;0.1,1,IF(P43&lt;1,2,IF(P43&lt;10,3,IF(P43&lt;50,4,IF(P43&gt;=50,5,""))))))</f>
        <v/>
      </c>
      <c r="R43" s="205" t="n">
        <f aca="false">IF(ISERROR(Q43*I43),0,Q43*I43)</f>
        <v>0</v>
      </c>
      <c r="S43" s="205" t="n">
        <f aca="false">IF(ISERROR(Q43*I43*J43),0,Q43*I43*J43)</f>
        <v>0</v>
      </c>
      <c r="T43" s="219" t="n">
        <f aca="false">IF(ISERROR(Q43*J43),0,Q43*J43)</f>
        <v>0</v>
      </c>
      <c r="U43" s="206" t="str">
        <f aca="false">IF(AND(A43="",F43=0),"",IF(F43=0,"Il manque le(s) % de rec. !",""))</f>
        <v/>
      </c>
      <c r="V43" s="207"/>
      <c r="X43" s="205" t="str">
        <f aca="false">IF(A43="new.cod","NEW.COD",IF(AND((Y43=""),ISTEXT(A43)),A43,IF(Y43="","",INDEX('[1]liste reference'!$A$7:$A$906,Y43))))</f>
        <v/>
      </c>
      <c r="Y43" s="8" t="str">
        <f aca="false">IF(ISERROR(MATCH(A43,'[1]liste reference'!$A$7:$A$906,0)),IF(ISERROR(MATCH(A43,'[1]liste reference'!$B$7:$B$906,0)),"",(MATCH(A43,'[1]liste reference'!$B$7:$B$906,0))),(MATCH(A43,'[1]liste reference'!$A$7:$A$906,0)))</f>
        <v/>
      </c>
      <c r="Z43" s="208"/>
      <c r="AA43" s="209"/>
      <c r="BB43" s="8" t="str">
        <f aca="false">IF(A43="","",1)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/>
      </c>
      <c r="E44" s="213" t="n">
        <f aca="false">IF(D44="",,VLOOKUP(D44,D$22:D43,1,0))</f>
        <v>0</v>
      </c>
      <c r="F44" s="223" t="n">
        <f aca="false">($B44*$B$7+$C44*$C$7)/100</f>
        <v>0</v>
      </c>
      <c r="G44" s="215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/>
      </c>
      <c r="H44" s="198" t="str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x</v>
      </c>
      <c r="I44" s="216" t="str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/>
      </c>
      <c r="J44" s="200" t="str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/>
      </c>
      <c r="K44" s="217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/>
      </c>
      <c r="L44" s="218"/>
      <c r="M44" s="218"/>
      <c r="N44" s="218"/>
      <c r="O44" s="203"/>
      <c r="P44" s="204" t="str">
        <f aca="false">IF(ISTEXT(H44),"",(B44*$B$7/100)+(C44*$C$7/100))</f>
        <v/>
      </c>
      <c r="Q44" s="205" t="str">
        <f aca="false">IF(OR(ISTEXT(H44),P44=0),"",IF(P44&lt;0.1,1,IF(P44&lt;1,2,IF(P44&lt;10,3,IF(P44&lt;50,4,IF(P44&gt;=50,5,""))))))</f>
        <v/>
      </c>
      <c r="R44" s="205" t="n">
        <f aca="false">IF(ISERROR(Q44*I44),0,Q44*I44)</f>
        <v>0</v>
      </c>
      <c r="S44" s="205" t="n">
        <f aca="false">IF(ISERROR(Q44*I44*J44),0,Q44*I44*J44)</f>
        <v>0</v>
      </c>
      <c r="T44" s="219" t="n">
        <f aca="false">IF(ISERROR(Q44*J44),0,Q44*J44)</f>
        <v>0</v>
      </c>
      <c r="U44" s="206" t="str">
        <f aca="false">IF(AND(A44="",F44=0),"",IF(F44=0,"Il manque le(s) % de rec. !",""))</f>
        <v/>
      </c>
      <c r="V44" s="207"/>
      <c r="X44" s="205" t="str">
        <f aca="false">IF(A44="new.cod","NEW.COD",IF(AND((Y44=""),ISTEXT(A44)),A44,IF(Y44="","",INDEX('[1]liste reference'!$A$7:$A$906,Y44))))</f>
        <v/>
      </c>
      <c r="Y44" s="8" t="str">
        <f aca="false">IF(ISERROR(MATCH(A44,'[1]liste reference'!$A$7:$A$906,0)),IF(ISERROR(MATCH(A44,'[1]liste reference'!$B$7:$B$906,0)),"",(MATCH(A44,'[1]liste reference'!$B$7:$B$906,0))),(MATCH(A44,'[1]liste reference'!$A$7:$A$906,0)))</f>
        <v/>
      </c>
      <c r="Z44" s="208"/>
      <c r="AA44" s="209"/>
      <c r="BB44" s="8" t="str">
        <f aca="false">IF(A44="","",1)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/>
      </c>
      <c r="E45" s="213" t="n">
        <f aca="false">IF(D45="",,VLOOKUP(D45,D$22:D44,1,0))</f>
        <v>0</v>
      </c>
      <c r="F45" s="223" t="n">
        <f aca="false">($B45*$B$7+$C45*$C$7)/100</f>
        <v>0</v>
      </c>
      <c r="G45" s="215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/>
      </c>
      <c r="H45" s="198" t="str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x</v>
      </c>
      <c r="I45" s="216" t="str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/>
      </c>
      <c r="J45" s="200" t="str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/>
      </c>
      <c r="K45" s="217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/>
      </c>
      <c r="L45" s="218"/>
      <c r="M45" s="218"/>
      <c r="N45" s="218"/>
      <c r="O45" s="203"/>
      <c r="P45" s="204" t="str">
        <f aca="false">IF(ISTEXT(H45),"",(B45*$B$7/100)+(C45*$C$7/100))</f>
        <v/>
      </c>
      <c r="Q45" s="205" t="str">
        <f aca="false">IF(OR(ISTEXT(H45),P45=0),"",IF(P45&lt;0.1,1,IF(P45&lt;1,2,IF(P45&lt;10,3,IF(P45&lt;50,4,IF(P45&gt;=50,5,""))))))</f>
        <v/>
      </c>
      <c r="R45" s="205" t="n">
        <f aca="false">IF(ISERROR(Q45*I45),0,Q45*I45)</f>
        <v>0</v>
      </c>
      <c r="S45" s="205" t="n">
        <f aca="false">IF(ISERROR(Q45*I45*J45),0,Q45*I45*J45)</f>
        <v>0</v>
      </c>
      <c r="T45" s="219" t="n">
        <f aca="false">IF(ISERROR(Q45*J45),0,Q45*J45)</f>
        <v>0</v>
      </c>
      <c r="U45" s="206" t="str">
        <f aca="false">IF(AND(A45="",F45=0),"",IF(F45=0,"Il manque le(s) % de rec. !",""))</f>
        <v/>
      </c>
      <c r="V45" s="207"/>
      <c r="X45" s="205" t="str">
        <f aca="false">IF(A45="new.cod","NEW.COD",IF(AND((Y45=""),ISTEXT(A45)),A45,IF(Y45="","",INDEX('[1]liste reference'!$A$7:$A$906,Y45))))</f>
        <v/>
      </c>
      <c r="Y45" s="8" t="str">
        <f aca="false">IF(ISERROR(MATCH(A45,'[1]liste reference'!$A$7:$A$906,0)),IF(ISERROR(MATCH(A45,'[1]liste reference'!$B$7:$B$906,0)),"",(MATCH(A45,'[1]liste reference'!$B$7:$B$906,0))),(MATCH(A45,'[1]liste reference'!$A$7:$A$906,0)))</f>
        <v/>
      </c>
      <c r="Z45" s="208"/>
      <c r="AA45" s="209"/>
      <c r="BB45" s="8" t="str">
        <f aca="false">IF(A45="","",1)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/>
      </c>
      <c r="E46" s="213" t="n">
        <f aca="false">IF(D46="",,VLOOKUP(D46,D$22:D45,1,0))</f>
        <v>0</v>
      </c>
      <c r="F46" s="223" t="n">
        <f aca="false">($B46*$B$7+$C46*$C$7)/100</f>
        <v>0</v>
      </c>
      <c r="G46" s="215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/>
      </c>
      <c r="H46" s="198" t="str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x</v>
      </c>
      <c r="I46" s="216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0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7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/>
      </c>
      <c r="L46" s="218"/>
      <c r="M46" s="218"/>
      <c r="N46" s="218"/>
      <c r="O46" s="203"/>
      <c r="P46" s="204" t="str">
        <f aca="false">IF(ISTEXT(H46),"",(B46*$B$7/100)+(C46*$C$7/100))</f>
        <v/>
      </c>
      <c r="Q46" s="205" t="str">
        <f aca="false">IF(OR(ISTEXT(H46),P46=0),"",IF(P46&lt;0.1,1,IF(P46&lt;1,2,IF(P46&lt;10,3,IF(P46&lt;50,4,IF(P46&gt;=50,5,""))))))</f>
        <v/>
      </c>
      <c r="R46" s="205" t="n">
        <f aca="false">IF(ISERROR(Q46*I46),0,Q46*I46)</f>
        <v>0</v>
      </c>
      <c r="S46" s="205" t="n">
        <f aca="false">IF(ISERROR(Q46*I46*J46),0,Q46*I46*J46)</f>
        <v>0</v>
      </c>
      <c r="T46" s="219" t="n">
        <f aca="false">IF(ISERROR(Q46*J46),0,Q46*J46)</f>
        <v>0</v>
      </c>
      <c r="U46" s="206" t="str">
        <f aca="false">IF(AND(A46="",F46=0),"",IF(F46=0,"Il manque le(s) % de rec. !",""))</f>
        <v/>
      </c>
      <c r="V46" s="207"/>
      <c r="X46" s="205" t="str">
        <f aca="false">IF(A46="new.cod","NEW.COD",IF(AND((Y46=""),ISTEXT(A46)),A46,IF(Y46="","",INDEX('[1]liste reference'!$A$7:$A$906,Y46))))</f>
        <v/>
      </c>
      <c r="Y46" s="8" t="str">
        <f aca="false">IF(ISERROR(MATCH(A46,'[1]liste reference'!$A$7:$A$906,0)),IF(ISERROR(MATCH(A46,'[1]liste reference'!$B$7:$B$906,0)),"",(MATCH(A46,'[1]liste reference'!$B$7:$B$906,0))),(MATCH(A46,'[1]liste reference'!$A$7:$A$906,0)))</f>
        <v/>
      </c>
      <c r="Z46" s="208"/>
      <c r="AA46" s="209"/>
      <c r="BB46" s="8" t="str">
        <f aca="false">IF(A46="","",1)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/>
      </c>
      <c r="E47" s="213" t="n">
        <f aca="false">IF(D47="",,VLOOKUP(D47,D$22:D46,1,0))</f>
        <v>0</v>
      </c>
      <c r="F47" s="223" t="n">
        <f aca="false">($B47*$B$7+$C47*$C$7)/100</f>
        <v>0</v>
      </c>
      <c r="G47" s="215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/>
      </c>
      <c r="H47" s="198" t="str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x</v>
      </c>
      <c r="I47" s="216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0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7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/>
      </c>
      <c r="L47" s="218"/>
      <c r="M47" s="218"/>
      <c r="N47" s="218"/>
      <c r="O47" s="203"/>
      <c r="P47" s="204" t="str">
        <f aca="false">IF(ISTEXT(H47),"",(B47*$B$7/100)+(C47*$C$7/100))</f>
        <v/>
      </c>
      <c r="Q47" s="205" t="str">
        <f aca="false">IF(OR(ISTEXT(H47),P47=0),"",IF(P47&lt;0.1,1,IF(P47&lt;1,2,IF(P47&lt;10,3,IF(P47&lt;50,4,IF(P47&gt;=50,5,""))))))</f>
        <v/>
      </c>
      <c r="R47" s="205" t="n">
        <f aca="false">IF(ISERROR(Q47*I47),0,Q47*I47)</f>
        <v>0</v>
      </c>
      <c r="S47" s="205" t="n">
        <f aca="false">IF(ISERROR(Q47*I47*J47),0,Q47*I47*J47)</f>
        <v>0</v>
      </c>
      <c r="T47" s="219" t="n">
        <f aca="false">IF(ISERROR(Q47*J47),0,Q47*J47)</f>
        <v>0</v>
      </c>
      <c r="U47" s="206" t="str">
        <f aca="false">IF(AND(A47="",F47=0),"",IF(F47=0,"Il manque le(s) % de rec. !",""))</f>
        <v/>
      </c>
      <c r="V47" s="207"/>
      <c r="X47" s="205" t="str">
        <f aca="false">IF(A47="new.cod","NEW.COD",IF(AND((Y47=""),ISTEXT(A47)),A47,IF(Y47="","",INDEX('[1]liste reference'!$A$7:$A$906,Y47))))</f>
        <v/>
      </c>
      <c r="Y47" s="8" t="str">
        <f aca="false">IF(ISERROR(MATCH(A47,'[1]liste reference'!$A$7:$A$906,0)),IF(ISERROR(MATCH(A47,'[1]liste reference'!$B$7:$B$906,0)),"",(MATCH(A47,'[1]liste reference'!$B$7:$B$906,0))),(MATCH(A47,'[1]liste reference'!$A$7:$A$906,0)))</f>
        <v/>
      </c>
      <c r="Z47" s="208"/>
      <c r="AA47" s="209"/>
      <c r="BB47" s="8" t="str">
        <f aca="false">IF(A47="","",1)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/>
      </c>
      <c r="E48" s="213" t="n">
        <f aca="false">IF(D48="",,VLOOKUP(D48,D$22:D47,1,0))</f>
        <v>0</v>
      </c>
      <c r="F48" s="223" t="n">
        <f aca="false">($B48*$B$7+$C48*$C$7)/100</f>
        <v>0</v>
      </c>
      <c r="G48" s="215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/>
      </c>
      <c r="H48" s="198" t="str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x</v>
      </c>
      <c r="I48" s="216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0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7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/>
      </c>
      <c r="L48" s="218"/>
      <c r="M48" s="218"/>
      <c r="N48" s="218"/>
      <c r="O48" s="203"/>
      <c r="P48" s="204" t="str">
        <f aca="false">IF(ISTEXT(H48),"",(B48*$B$7/100)+(C48*$C$7/100))</f>
        <v/>
      </c>
      <c r="Q48" s="205" t="str">
        <f aca="false">IF(OR(ISTEXT(H48),P48=0),"",IF(P48&lt;0.1,1,IF(P48&lt;1,2,IF(P48&lt;10,3,IF(P48&lt;50,4,IF(P48&gt;=50,5,""))))))</f>
        <v/>
      </c>
      <c r="R48" s="205" t="n">
        <f aca="false">IF(ISERROR(Q48*I48),0,Q48*I48)</f>
        <v>0</v>
      </c>
      <c r="S48" s="205" t="n">
        <f aca="false">IF(ISERROR(Q48*I48*J48),0,Q48*I48*J48)</f>
        <v>0</v>
      </c>
      <c r="T48" s="219" t="n">
        <f aca="false">IF(ISERROR(Q48*J48),0,Q48*J48)</f>
        <v>0</v>
      </c>
      <c r="U48" s="206" t="str">
        <f aca="false">IF(AND(A48="",F48=0),"",IF(F48=0,"Il manque le(s) % de rec. !",""))</f>
        <v/>
      </c>
      <c r="V48" s="207"/>
      <c r="X48" s="205" t="str">
        <f aca="false">IF(A48="new.cod","NEW.COD",IF(AND((Y48=""),ISTEXT(A48)),A48,IF(Y48="","",INDEX('[1]liste reference'!$A$7:$A$906,Y48))))</f>
        <v/>
      </c>
      <c r="Y48" s="8" t="str">
        <f aca="false">IF(ISERROR(MATCH(A48,'[1]liste reference'!$A$7:$A$906,0)),IF(ISERROR(MATCH(A48,'[1]liste reference'!$B$7:$B$906,0)),"",(MATCH(A48,'[1]liste reference'!$B$7:$B$906,0))),(MATCH(A48,'[1]liste reference'!$A$7:$A$906,0)))</f>
        <v/>
      </c>
      <c r="Z48" s="208"/>
      <c r="AA48" s="209"/>
      <c r="BB48" s="8" t="str">
        <f aca="false">IF(A48="","",1)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/>
      </c>
      <c r="E49" s="213" t="n">
        <f aca="false">IF(D49="",,VLOOKUP(D49,D$22:D48,1,0))</f>
        <v>0</v>
      </c>
      <c r="F49" s="223" t="n">
        <f aca="false">($B49*$B$7+$C49*$C$7)/100</f>
        <v>0</v>
      </c>
      <c r="G49" s="215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/>
      </c>
      <c r="H49" s="198" t="str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x</v>
      </c>
      <c r="I49" s="216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0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7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/>
      </c>
      <c r="L49" s="218"/>
      <c r="M49" s="218"/>
      <c r="N49" s="218"/>
      <c r="O49" s="203"/>
      <c r="P49" s="204" t="str">
        <f aca="false">IF(ISTEXT(H49),"",(B49*$B$7/100)+(C49*$C$7/100))</f>
        <v/>
      </c>
      <c r="Q49" s="205" t="str">
        <f aca="false">IF(OR(ISTEXT(H49),P49=0),"",IF(P49&lt;0.1,1,IF(P49&lt;1,2,IF(P49&lt;10,3,IF(P49&lt;50,4,IF(P49&gt;=50,5,""))))))</f>
        <v/>
      </c>
      <c r="R49" s="205" t="n">
        <f aca="false">IF(ISERROR(Q49*I49),0,Q49*I49)</f>
        <v>0</v>
      </c>
      <c r="S49" s="205" t="n">
        <f aca="false">IF(ISERROR(Q49*I49*J49),0,Q49*I49*J49)</f>
        <v>0</v>
      </c>
      <c r="T49" s="219" t="n">
        <f aca="false">IF(ISERROR(Q49*J49),0,Q49*J49)</f>
        <v>0</v>
      </c>
      <c r="U49" s="206" t="str">
        <f aca="false">IF(AND(A49="",F49=0),"",IF(F49=0,"Il manque le(s) % de rec. !",""))</f>
        <v/>
      </c>
      <c r="V49" s="207"/>
      <c r="X49" s="205" t="str">
        <f aca="false">IF(A49="new.cod","NEW.COD",IF(AND((Y49=""),ISTEXT(A49)),A49,IF(Y49="","",INDEX('[1]liste reference'!$A$7:$A$906,Y49))))</f>
        <v/>
      </c>
      <c r="Y49" s="8" t="str">
        <f aca="false">IF(ISERROR(MATCH(A49,'[1]liste reference'!$A$7:$A$906,0)),IF(ISERROR(MATCH(A49,'[1]liste reference'!$B$7:$B$906,0)),"",(MATCH(A49,'[1]liste reference'!$B$7:$B$906,0))),(MATCH(A49,'[1]liste reference'!$A$7:$A$906,0)))</f>
        <v/>
      </c>
      <c r="Z49" s="208"/>
      <c r="AA49" s="209"/>
      <c r="BB49" s="8" t="str">
        <f aca="false">IF(A49="","",1)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/>
      </c>
      <c r="E50" s="213" t="n">
        <f aca="false">IF(D50="",,VLOOKUP(D50,D$22:D49,1,0))</f>
        <v>0</v>
      </c>
      <c r="F50" s="223" t="n">
        <f aca="false">($B50*$B$7+$C50*$C$7)/100</f>
        <v>0</v>
      </c>
      <c r="G50" s="215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/>
      </c>
      <c r="H50" s="198" t="str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x</v>
      </c>
      <c r="I50" s="216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0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7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/>
      </c>
      <c r="L50" s="218"/>
      <c r="M50" s="218"/>
      <c r="N50" s="218"/>
      <c r="O50" s="203"/>
      <c r="P50" s="204" t="str">
        <f aca="false">IF(ISTEXT(H50),"",(B50*$B$7/100)+(C50*$C$7/100))</f>
        <v/>
      </c>
      <c r="Q50" s="205" t="str">
        <f aca="false">IF(OR(ISTEXT(H50),P50=0),"",IF(P50&lt;0.1,1,IF(P50&lt;1,2,IF(P50&lt;10,3,IF(P50&lt;50,4,IF(P50&gt;=50,5,""))))))</f>
        <v/>
      </c>
      <c r="R50" s="205" t="n">
        <f aca="false">IF(ISERROR(Q50*I50),0,Q50*I50)</f>
        <v>0</v>
      </c>
      <c r="S50" s="205" t="n">
        <f aca="false">IF(ISERROR(Q50*I50*J50),0,Q50*I50*J50)</f>
        <v>0</v>
      </c>
      <c r="T50" s="219" t="n">
        <f aca="false">IF(ISERROR(Q50*J50),0,Q50*J50)</f>
        <v>0</v>
      </c>
      <c r="U50" s="206" t="str">
        <f aca="false">IF(AND(A50="",F50=0),"",IF(F50=0,"Il manque le(s) % de rec. !",""))</f>
        <v/>
      </c>
      <c r="V50" s="207"/>
      <c r="X50" s="205" t="str">
        <f aca="false">IF(A50="new.cod","NEW.COD",IF(AND((Y50=""),ISTEXT(A50)),A50,IF(Y50="","",INDEX('[1]liste reference'!$A$7:$A$906,Y50))))</f>
        <v/>
      </c>
      <c r="Y50" s="8" t="str">
        <f aca="false">IF(ISERROR(MATCH(A50,'[1]liste reference'!$A$7:$A$906,0)),IF(ISERROR(MATCH(A50,'[1]liste reference'!$B$7:$B$906,0)),"",(MATCH(A50,'[1]liste reference'!$B$7:$B$906,0))),(MATCH(A50,'[1]liste reference'!$A$7:$A$906,0)))</f>
        <v/>
      </c>
      <c r="Z50" s="208"/>
      <c r="AA50" s="209"/>
      <c r="BB50" s="8" t="str">
        <f aca="false">IF(A50="","",1)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3" t="n">
        <f aca="false">IF(D51="",,VLOOKUP(D51,D$22:D50,1,0))</f>
        <v>0</v>
      </c>
      <c r="F51" s="223" t="n">
        <f aca="false">($B51*$B$7+$C51*$C$7)/100</f>
        <v>0</v>
      </c>
      <c r="G51" s="215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198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6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0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7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18"/>
      <c r="M51" s="218"/>
      <c r="N51" s="218"/>
      <c r="O51" s="203"/>
      <c r="P51" s="204" t="str">
        <f aca="false">IF(ISTEXT(H51),"",(B51*$B$7/100)+(C51*$C$7/100))</f>
        <v/>
      </c>
      <c r="Q51" s="205" t="str">
        <f aca="false">IF(OR(ISTEXT(H51),P51=0),"",IF(P51&lt;0.1,1,IF(P51&lt;1,2,IF(P51&lt;10,3,IF(P51&lt;50,4,IF(P51&gt;=50,5,""))))))</f>
        <v/>
      </c>
      <c r="R51" s="205" t="n">
        <f aca="false">IF(ISERROR(Q51*I51),0,Q51*I51)</f>
        <v>0</v>
      </c>
      <c r="S51" s="205" t="n">
        <f aca="false">IF(ISERROR(Q51*I51*J51),0,Q51*I51*J51)</f>
        <v>0</v>
      </c>
      <c r="T51" s="219" t="n">
        <f aca="false">IF(ISERROR(Q51*J51),0,Q51*J51)</f>
        <v>0</v>
      </c>
      <c r="U51" s="206" t="str">
        <f aca="false">IF(AND(A51="",F51=0),"",IF(F51=0,"Il manque le(s) % de rec. !",""))</f>
        <v/>
      </c>
      <c r="V51" s="207"/>
      <c r="X51" s="205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08"/>
      <c r="AA51" s="209"/>
      <c r="BB51" s="8" t="str">
        <f aca="false">IF(A51="","",1)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3" t="n">
        <f aca="false">IF(D52="",,VLOOKUP(D52,D$22:D51,1,0))</f>
        <v>0</v>
      </c>
      <c r="F52" s="223" t="n">
        <f aca="false">($B52*$B$7+$C52*$C$7)/100</f>
        <v>0</v>
      </c>
      <c r="G52" s="215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198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6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0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7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18"/>
      <c r="M52" s="218"/>
      <c r="N52" s="218"/>
      <c r="O52" s="203"/>
      <c r="P52" s="204" t="str">
        <f aca="false">IF(ISTEXT(H52),"",(B52*$B$7/100)+(C52*$C$7/100))</f>
        <v/>
      </c>
      <c r="Q52" s="205" t="str">
        <f aca="false">IF(OR(ISTEXT(H52),P52=0),"",IF(P52&lt;0.1,1,IF(P52&lt;1,2,IF(P52&lt;10,3,IF(P52&lt;50,4,IF(P52&gt;=50,5,""))))))</f>
        <v/>
      </c>
      <c r="R52" s="205" t="n">
        <f aca="false">IF(ISERROR(Q52*I52),0,Q52*I52)</f>
        <v>0</v>
      </c>
      <c r="S52" s="205" t="n">
        <f aca="false">IF(ISERROR(Q52*I52*J52),0,Q52*I52*J52)</f>
        <v>0</v>
      </c>
      <c r="T52" s="219" t="n">
        <f aca="false">IF(ISERROR(Q52*J52),0,Q52*J52)</f>
        <v>0</v>
      </c>
      <c r="U52" s="206" t="str">
        <f aca="false">IF(AND(A52="",F52=0),"",IF(F52=0,"Il manque le(s) % de rec. !",""))</f>
        <v/>
      </c>
      <c r="V52" s="207"/>
      <c r="X52" s="205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08"/>
      <c r="AA52" s="209"/>
      <c r="BB52" s="8" t="str">
        <f aca="false">IF(A52="","",1)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3" t="n">
        <f aca="false">IF(D53="",,VLOOKUP(D53,D$22:D52,1,0))</f>
        <v>0</v>
      </c>
      <c r="F53" s="223" t="n">
        <f aca="false">($B53*$B$7+$C53*$C$7)/100</f>
        <v>0</v>
      </c>
      <c r="G53" s="215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198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6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0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7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18"/>
      <c r="M53" s="218"/>
      <c r="N53" s="218"/>
      <c r="O53" s="203"/>
      <c r="P53" s="204" t="str">
        <f aca="false">IF(ISTEXT(H53),"",(B53*$B$7/100)+(C53*$C$7/100))</f>
        <v/>
      </c>
      <c r="Q53" s="205" t="str">
        <f aca="false">IF(OR(ISTEXT(H53),P53=0),"",IF(P53&lt;0.1,1,IF(P53&lt;1,2,IF(P53&lt;10,3,IF(P53&lt;50,4,IF(P53&gt;=50,5,""))))))</f>
        <v/>
      </c>
      <c r="R53" s="205" t="n">
        <f aca="false">IF(ISERROR(Q53*I53),0,Q53*I53)</f>
        <v>0</v>
      </c>
      <c r="S53" s="205" t="n">
        <f aca="false">IF(ISERROR(Q53*I53*J53),0,Q53*I53*J53)</f>
        <v>0</v>
      </c>
      <c r="T53" s="219" t="n">
        <f aca="false">IF(ISERROR(Q53*J53),0,Q53*J53)</f>
        <v>0</v>
      </c>
      <c r="U53" s="206" t="str">
        <f aca="false">IF(AND(A53="",F53=0),"",IF(F53=0,"Il manque le(s) % de rec. !",""))</f>
        <v/>
      </c>
      <c r="V53" s="207"/>
      <c r="X53" s="205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08"/>
      <c r="AA53" s="209"/>
      <c r="BB53" s="8" t="str">
        <f aca="false">IF(A53="","",1)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3" t="n">
        <f aca="false">IF(D54="",,VLOOKUP(D54,D$22:D53,1,0))</f>
        <v>0</v>
      </c>
      <c r="F54" s="223" t="n">
        <f aca="false">($B54*$B$7+$C54*$C$7)/100</f>
        <v>0</v>
      </c>
      <c r="G54" s="215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198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6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0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7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18"/>
      <c r="M54" s="218"/>
      <c r="N54" s="218"/>
      <c r="O54" s="203"/>
      <c r="P54" s="204" t="str">
        <f aca="false">IF(ISTEXT(H54),"",(B54*$B$7/100)+(C54*$C$7/100))</f>
        <v/>
      </c>
      <c r="Q54" s="205" t="str">
        <f aca="false">IF(OR(ISTEXT(H54),P54=0),"",IF(P54&lt;0.1,1,IF(P54&lt;1,2,IF(P54&lt;10,3,IF(P54&lt;50,4,IF(P54&gt;=50,5,""))))))</f>
        <v/>
      </c>
      <c r="R54" s="205" t="n">
        <f aca="false">IF(ISERROR(Q54*I54),0,Q54*I54)</f>
        <v>0</v>
      </c>
      <c r="S54" s="205" t="n">
        <f aca="false">IF(ISERROR(Q54*I54*J54),0,Q54*I54*J54)</f>
        <v>0</v>
      </c>
      <c r="T54" s="219" t="n">
        <f aca="false">IF(ISERROR(Q54*J54),0,Q54*J54)</f>
        <v>0</v>
      </c>
      <c r="U54" s="206" t="str">
        <f aca="false">IF(AND(A54="",F54=0),"",IF(F54=0,"Il manque le(s) % de rec. !",""))</f>
        <v/>
      </c>
      <c r="V54" s="207"/>
      <c r="X54" s="205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08"/>
      <c r="AA54" s="209"/>
      <c r="BB54" s="8" t="str">
        <f aca="false">IF(A54="","",1)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3" t="n">
        <f aca="false">IF(D55="",,VLOOKUP(D55,D$22:D54,1,0))</f>
        <v>0</v>
      </c>
      <c r="F55" s="223" t="n">
        <f aca="false">($B55*$B$7+$C55*$C$7)/100</f>
        <v>0</v>
      </c>
      <c r="G55" s="215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198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6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0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7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18"/>
      <c r="M55" s="218"/>
      <c r="N55" s="218"/>
      <c r="O55" s="203"/>
      <c r="P55" s="204" t="str">
        <f aca="false">IF(ISTEXT(H55),"",(B55*$B$7/100)+(C55*$C$7/100))</f>
        <v/>
      </c>
      <c r="Q55" s="205" t="str">
        <f aca="false">IF(OR(ISTEXT(H55),P55=0),"",IF(P55&lt;0.1,1,IF(P55&lt;1,2,IF(P55&lt;10,3,IF(P55&lt;50,4,IF(P55&gt;=50,5,""))))))</f>
        <v/>
      </c>
      <c r="R55" s="205" t="n">
        <f aca="false">IF(ISERROR(Q55*I55),0,Q55*I55)</f>
        <v>0</v>
      </c>
      <c r="S55" s="205" t="n">
        <f aca="false">IF(ISERROR(Q55*I55*J55),0,Q55*I55*J55)</f>
        <v>0</v>
      </c>
      <c r="T55" s="219" t="n">
        <f aca="false">IF(ISERROR(Q55*J55),0,Q55*J55)</f>
        <v>0</v>
      </c>
      <c r="U55" s="206" t="str">
        <f aca="false">IF(AND(A55="",F55=0),"",IF(F55=0,"Il manque le(s) % de rec. !",""))</f>
        <v/>
      </c>
      <c r="V55" s="207"/>
      <c r="X55" s="205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08"/>
      <c r="AA55" s="209"/>
      <c r="BB55" s="8" t="str">
        <f aca="false">IF(A55="","",1)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3" t="n">
        <f aca="false">IF(D56="",,VLOOKUP(D56,D$22:D55,1,0))</f>
        <v>0</v>
      </c>
      <c r="F56" s="223" t="n">
        <f aca="false">($B56*$B$7+$C56*$C$7)/100</f>
        <v>0</v>
      </c>
      <c r="G56" s="215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198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6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0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7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18"/>
      <c r="M56" s="218"/>
      <c r="N56" s="218"/>
      <c r="O56" s="203"/>
      <c r="P56" s="204" t="str">
        <f aca="false">IF(ISTEXT(H56),"",(B56*$B$7/100)+(C56*$C$7/100))</f>
        <v/>
      </c>
      <c r="Q56" s="205" t="str">
        <f aca="false">IF(OR(ISTEXT(H56),P56=0),"",IF(P56&lt;0.1,1,IF(P56&lt;1,2,IF(P56&lt;10,3,IF(P56&lt;50,4,IF(P56&gt;=50,5,""))))))</f>
        <v/>
      </c>
      <c r="R56" s="205" t="n">
        <f aca="false">IF(ISERROR(Q56*I56),0,Q56*I56)</f>
        <v>0</v>
      </c>
      <c r="S56" s="205" t="n">
        <f aca="false">IF(ISERROR(Q56*I56*J56),0,Q56*I56*J56)</f>
        <v>0</v>
      </c>
      <c r="T56" s="219" t="n">
        <f aca="false">IF(ISERROR(Q56*J56),0,Q56*J56)</f>
        <v>0</v>
      </c>
      <c r="U56" s="206" t="str">
        <f aca="false">IF(AND(A56="",F56=0),"",IF(F56=0,"Il manque le(s) % de rec. !",""))</f>
        <v/>
      </c>
      <c r="V56" s="207"/>
      <c r="X56" s="205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08"/>
      <c r="AA56" s="209"/>
      <c r="BB56" s="8" t="str">
        <f aca="false">IF(A56="","",1)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3" t="n">
        <f aca="false">IF(D57="",,VLOOKUP(D57,D$22:D56,1,0))</f>
        <v>0</v>
      </c>
      <c r="F57" s="223" t="n">
        <f aca="false">($B57*$B$7+$C57*$C$7)/100</f>
        <v>0</v>
      </c>
      <c r="G57" s="215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198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6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0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7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18"/>
      <c r="M57" s="218"/>
      <c r="N57" s="218"/>
      <c r="O57" s="203"/>
      <c r="P57" s="204" t="str">
        <f aca="false">IF(ISTEXT(H57),"",(B57*$B$7/100)+(C57*$C$7/100))</f>
        <v/>
      </c>
      <c r="Q57" s="205" t="str">
        <f aca="false">IF(OR(ISTEXT(H57),P57=0),"",IF(P57&lt;0.1,1,IF(P57&lt;1,2,IF(P57&lt;10,3,IF(P57&lt;50,4,IF(P57&gt;=50,5,""))))))</f>
        <v/>
      </c>
      <c r="R57" s="205" t="n">
        <f aca="false">IF(ISERROR(Q57*I57),0,Q57*I57)</f>
        <v>0</v>
      </c>
      <c r="S57" s="205" t="n">
        <f aca="false">IF(ISERROR(Q57*I57*J57),0,Q57*I57*J57)</f>
        <v>0</v>
      </c>
      <c r="T57" s="219" t="n">
        <f aca="false">IF(ISERROR(Q57*J57),0,Q57*J57)</f>
        <v>0</v>
      </c>
      <c r="U57" s="206" t="str">
        <f aca="false">IF(AND(A57="",F57=0),"",IF(F57=0,"Il manque le(s) % de rec. !",""))</f>
        <v/>
      </c>
      <c r="V57" s="207"/>
      <c r="X57" s="205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08"/>
      <c r="AA57" s="209"/>
      <c r="BB57" s="8" t="str">
        <f aca="false">IF(A57="","",1)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3" t="n">
        <f aca="false">IF(D58="",,VLOOKUP(D58,D$22:D57,1,0))</f>
        <v>0</v>
      </c>
      <c r="F58" s="223" t="n">
        <f aca="false">($B58*$B$7+$C58*$C$7)/100</f>
        <v>0</v>
      </c>
      <c r="G58" s="215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198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6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0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7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18"/>
      <c r="M58" s="218"/>
      <c r="N58" s="218"/>
      <c r="O58" s="203"/>
      <c r="P58" s="204" t="str">
        <f aca="false">IF(ISTEXT(H58),"",(B58*$B$7/100)+(C58*$C$7/100))</f>
        <v/>
      </c>
      <c r="Q58" s="205" t="str">
        <f aca="false">IF(OR(ISTEXT(H58),P58=0),"",IF(P58&lt;0.1,1,IF(P58&lt;1,2,IF(P58&lt;10,3,IF(P58&lt;50,4,IF(P58&gt;=50,5,""))))))</f>
        <v/>
      </c>
      <c r="R58" s="205" t="n">
        <f aca="false">IF(ISERROR(Q58*I58),0,Q58*I58)</f>
        <v>0</v>
      </c>
      <c r="S58" s="205" t="n">
        <f aca="false">IF(ISERROR(Q58*I58*J58),0,Q58*I58*J58)</f>
        <v>0</v>
      </c>
      <c r="T58" s="219" t="n">
        <f aca="false">IF(ISERROR(Q58*J58),0,Q58*J58)</f>
        <v>0</v>
      </c>
      <c r="U58" s="206" t="str">
        <f aca="false">IF(AND(A58="",F58=0),"",IF(F58=0,"Il manque le(s) % de rec. !",""))</f>
        <v/>
      </c>
      <c r="V58" s="207"/>
      <c r="X58" s="205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08"/>
      <c r="AA58" s="209"/>
      <c r="BB58" s="8" t="str">
        <f aca="false">IF(A58="","",1)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3" t="n">
        <f aca="false">IF(D59="",,VLOOKUP(D59,D$22:D58,1,0))</f>
        <v>0</v>
      </c>
      <c r="F59" s="223" t="n">
        <f aca="false">($B59*$B$7+$C59*$C$7)/100</f>
        <v>0</v>
      </c>
      <c r="G59" s="215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198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6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0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7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18"/>
      <c r="M59" s="218"/>
      <c r="N59" s="218"/>
      <c r="O59" s="203"/>
      <c r="P59" s="204" t="str">
        <f aca="false">IF(ISTEXT(H59),"",(B59*$B$7/100)+(C59*$C$7/100))</f>
        <v/>
      </c>
      <c r="Q59" s="205" t="str">
        <f aca="false">IF(OR(ISTEXT(H59),P59=0),"",IF(P59&lt;0.1,1,IF(P59&lt;1,2,IF(P59&lt;10,3,IF(P59&lt;50,4,IF(P59&gt;=50,5,""))))))</f>
        <v/>
      </c>
      <c r="R59" s="205" t="n">
        <f aca="false">IF(ISERROR(Q59*I59),0,Q59*I59)</f>
        <v>0</v>
      </c>
      <c r="S59" s="205" t="n">
        <f aca="false">IF(ISERROR(Q59*I59*J59),0,Q59*I59*J59)</f>
        <v>0</v>
      </c>
      <c r="T59" s="219" t="n">
        <f aca="false">IF(ISERROR(Q59*J59),0,Q59*J59)</f>
        <v>0</v>
      </c>
      <c r="U59" s="206" t="str">
        <f aca="false">IF(AND(A59="",F59=0),"",IF(F59=0,"Il manque le(s) % de rec. !",""))</f>
        <v/>
      </c>
      <c r="V59" s="207"/>
      <c r="X59" s="205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08"/>
      <c r="AA59" s="209"/>
      <c r="BB59" s="8" t="str">
        <f aca="false">IF(A59="","",1)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3" t="n">
        <f aca="false">IF(D60="",,VLOOKUP(D60,D$22:D59,1,0))</f>
        <v>0</v>
      </c>
      <c r="F60" s="223" t="n">
        <f aca="false">($B60*$B$7+$C60*$C$7)/100</f>
        <v>0</v>
      </c>
      <c r="G60" s="215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198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6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0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7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18"/>
      <c r="M60" s="218"/>
      <c r="N60" s="218"/>
      <c r="O60" s="203"/>
      <c r="P60" s="204" t="str">
        <f aca="false">IF(ISTEXT(H60),"",(B60*$B$7/100)+(C60*$C$7/100))</f>
        <v/>
      </c>
      <c r="Q60" s="205" t="str">
        <f aca="false">IF(OR(ISTEXT(H60),P60=0),"",IF(P60&lt;0.1,1,IF(P60&lt;1,2,IF(P60&lt;10,3,IF(P60&lt;50,4,IF(P60&gt;=50,5,""))))))</f>
        <v/>
      </c>
      <c r="R60" s="205" t="n">
        <f aca="false">IF(ISERROR(Q60*I60),0,Q60*I60)</f>
        <v>0</v>
      </c>
      <c r="S60" s="205" t="n">
        <f aca="false">IF(ISERROR(Q60*I60*J60),0,Q60*I60*J60)</f>
        <v>0</v>
      </c>
      <c r="T60" s="219" t="n">
        <f aca="false">IF(ISERROR(Q60*J60),0,Q60*J60)</f>
        <v>0</v>
      </c>
      <c r="U60" s="206" t="str">
        <f aca="false">IF(AND(A60="",F60=0),"",IF(F60=0,"Il manque le(s) % de rec. !",""))</f>
        <v/>
      </c>
      <c r="V60" s="207"/>
      <c r="X60" s="205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08"/>
      <c r="AA60" s="209"/>
      <c r="BB60" s="8" t="str">
        <f aca="false">IF(A60="","",1)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3" t="n">
        <f aca="false">IF(D61="",,VLOOKUP(D61,D$22:D54,1,0))</f>
        <v>0</v>
      </c>
      <c r="F61" s="223" t="n">
        <f aca="false">($B61*$B$7+$C61*$C$7)/100</f>
        <v>0</v>
      </c>
      <c r="G61" s="215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198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6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0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7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18"/>
      <c r="M61" s="218"/>
      <c r="N61" s="218"/>
      <c r="O61" s="203"/>
      <c r="P61" s="204" t="str">
        <f aca="false">IF(ISTEXT(H61),"",(B61*$B$7/100)+(C61*$C$7/100))</f>
        <v/>
      </c>
      <c r="Q61" s="205" t="str">
        <f aca="false">IF(OR(ISTEXT(H61),P61=0),"",IF(P61&lt;0.1,1,IF(P61&lt;1,2,IF(P61&lt;10,3,IF(P61&lt;50,4,IF(P61&gt;=50,5,""))))))</f>
        <v/>
      </c>
      <c r="R61" s="205" t="n">
        <f aca="false">IF(ISERROR(Q61*I61),0,Q61*I61)</f>
        <v>0</v>
      </c>
      <c r="S61" s="205" t="n">
        <f aca="false">IF(ISERROR(Q61*I61*J61),0,Q61*I61*J61)</f>
        <v>0</v>
      </c>
      <c r="T61" s="219" t="n">
        <f aca="false">IF(ISERROR(Q61*J61),0,Q61*J61)</f>
        <v>0</v>
      </c>
      <c r="U61" s="206" t="str">
        <f aca="false">IF(AND(A61="",F61=0),"",IF(F61=0,"Il manque le(s) % de rec. !",""))</f>
        <v/>
      </c>
      <c r="V61" s="207"/>
      <c r="X61" s="205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08"/>
      <c r="AA61" s="209"/>
      <c r="BB61" s="8" t="str">
        <f aca="false">IF(A61="","",1)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3" t="n">
        <f aca="false">IF(D62="",,VLOOKUP(D62,D$22:D54,1,0))</f>
        <v>0</v>
      </c>
      <c r="F62" s="223" t="n">
        <f aca="false">($B62*$B$7+$C62*$C$7)/100</f>
        <v>0</v>
      </c>
      <c r="G62" s="215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198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6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0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7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18"/>
      <c r="M62" s="218"/>
      <c r="N62" s="218"/>
      <c r="O62" s="203"/>
      <c r="P62" s="204" t="str">
        <f aca="false">IF(ISTEXT(H62),"",(B62*$B$7/100)+(C62*$C$7/100))</f>
        <v/>
      </c>
      <c r="Q62" s="205" t="str">
        <f aca="false">IF(OR(ISTEXT(H62),P62=0),"",IF(P62&lt;0.1,1,IF(P62&lt;1,2,IF(P62&lt;10,3,IF(P62&lt;50,4,IF(P62&gt;=50,5,""))))))</f>
        <v/>
      </c>
      <c r="R62" s="205" t="n">
        <f aca="false">IF(ISERROR(Q62*I62),0,Q62*I62)</f>
        <v>0</v>
      </c>
      <c r="S62" s="205" t="n">
        <f aca="false">IF(ISERROR(Q62*I62*J62),0,Q62*I62*J62)</f>
        <v>0</v>
      </c>
      <c r="T62" s="219" t="n">
        <f aca="false">IF(ISERROR(Q62*J62),0,Q62*J62)</f>
        <v>0</v>
      </c>
      <c r="U62" s="206" t="str">
        <f aca="false">IF(AND(A62="",F62=0),"",IF(F62=0,"Il manque le(s) % de rec. !",""))</f>
        <v/>
      </c>
      <c r="V62" s="207"/>
      <c r="X62" s="205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08"/>
      <c r="AA62" s="209"/>
      <c r="BB62" s="8" t="str">
        <f aca="false">IF(A62="","",1)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3" t="n">
        <f aca="false">IF(D63="",,VLOOKUP(D63,D$22:D55,1,0))</f>
        <v>0</v>
      </c>
      <c r="F63" s="223" t="n">
        <f aca="false">($B63*$B$7+$C63*$C$7)/100</f>
        <v>0</v>
      </c>
      <c r="G63" s="215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198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6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0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7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18"/>
      <c r="M63" s="218"/>
      <c r="N63" s="218"/>
      <c r="O63" s="203"/>
      <c r="P63" s="204" t="str">
        <f aca="false">IF(ISTEXT(H63),"",(B63*$B$7/100)+(C63*$C$7/100))</f>
        <v/>
      </c>
      <c r="Q63" s="205" t="str">
        <f aca="false">IF(OR(ISTEXT(H63),P63=0),"",IF(P63&lt;0.1,1,IF(P63&lt;1,2,IF(P63&lt;10,3,IF(P63&lt;50,4,IF(P63&gt;=50,5,""))))))</f>
        <v/>
      </c>
      <c r="R63" s="205" t="n">
        <f aca="false">IF(ISERROR(Q63*I63),0,Q63*I63)</f>
        <v>0</v>
      </c>
      <c r="S63" s="205" t="n">
        <f aca="false">IF(ISERROR(Q63*I63*J63),0,Q63*I63*J63)</f>
        <v>0</v>
      </c>
      <c r="T63" s="219" t="n">
        <f aca="false">IF(ISERROR(Q63*J63),0,Q63*J63)</f>
        <v>0</v>
      </c>
      <c r="U63" s="206" t="str">
        <f aca="false">IF(AND(A63="",F63=0),"",IF(F63=0,"Il manque le(s) % de rec. !",""))</f>
        <v/>
      </c>
      <c r="V63" s="207"/>
      <c r="X63" s="205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08"/>
      <c r="AA63" s="209"/>
      <c r="BB63" s="8" t="str">
        <f aca="false">IF(A63="","",1)</f>
        <v/>
      </c>
    </row>
    <row r="64" customFormat="false" ht="12.75" hidden="true" customHeight="true" outlineLevel="0" collapsed="false">
      <c r="A64" s="210"/>
      <c r="B64" s="211"/>
      <c r="C64" s="212"/>
      <c r="D64" s="213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3" t="n">
        <f aca="false">IF(D64="",,VLOOKUP(D64,D$22:D52,1,0))</f>
        <v>0</v>
      </c>
      <c r="F64" s="223" t="n">
        <f aca="false">($B64*$B$7+$C64*$C$7)/100</f>
        <v>0</v>
      </c>
      <c r="G64" s="215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198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6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0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7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18"/>
      <c r="M64" s="218"/>
      <c r="N64" s="218"/>
      <c r="O64" s="203"/>
      <c r="P64" s="204" t="str">
        <f aca="false">IF(ISTEXT(H64),"",(B64*$B$7/100)+(C64*$C$7/100))</f>
        <v/>
      </c>
      <c r="Q64" s="205" t="str">
        <f aca="false">IF(OR(ISTEXT(H64),P64=0),"",IF(P64&lt;0.1,1,IF(P64&lt;1,2,IF(P64&lt;10,3,IF(P64&lt;50,4,IF(P64&gt;=50,5,""))))))</f>
        <v/>
      </c>
      <c r="R64" s="205" t="n">
        <f aca="false">IF(ISERROR(Q64*I64),0,Q64*I64)</f>
        <v>0</v>
      </c>
      <c r="S64" s="205" t="n">
        <f aca="false">IF(ISERROR(Q64*I64*J64),0,Q64*I64*J64)</f>
        <v>0</v>
      </c>
      <c r="T64" s="219" t="n">
        <f aca="false">IF(ISERROR(Q64*J64),0,Q64*J64)</f>
        <v>0</v>
      </c>
      <c r="U64" s="206" t="str">
        <f aca="false">IF(AND(A64="",F64=0),"",IF(F64=0,"Il manque le(s) % de rec. !",""))</f>
        <v/>
      </c>
      <c r="V64" s="207"/>
      <c r="X64" s="205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08"/>
      <c r="AA64" s="209"/>
      <c r="BB64" s="8" t="str">
        <f aca="false">IF(A64="","",1)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3" t="n">
        <f aca="false">IF(D65="",,VLOOKUP(D65,D$22:D53,1,0))</f>
        <v>0</v>
      </c>
      <c r="F65" s="223" t="n">
        <f aca="false">($B65*$B$7+$C65*$C$7)/100</f>
        <v>0</v>
      </c>
      <c r="G65" s="215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198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6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0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7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18"/>
      <c r="M65" s="218"/>
      <c r="N65" s="218"/>
      <c r="O65" s="203"/>
      <c r="P65" s="204" t="str">
        <f aca="false">IF(ISTEXT(H65),"",(B65*$B$7/100)+(C65*$C$7/100))</f>
        <v/>
      </c>
      <c r="Q65" s="205" t="str">
        <f aca="false">IF(OR(ISTEXT(H65),P65=0),"",IF(P65&lt;0.1,1,IF(P65&lt;1,2,IF(P65&lt;10,3,IF(P65&lt;50,4,IF(P65&gt;=50,5,""))))))</f>
        <v/>
      </c>
      <c r="R65" s="205" t="n">
        <f aca="false">IF(ISERROR(Q65*I65),0,Q65*I65)</f>
        <v>0</v>
      </c>
      <c r="S65" s="205" t="n">
        <f aca="false">IF(ISERROR(Q65*I65*J65),0,Q65*I65*J65)</f>
        <v>0</v>
      </c>
      <c r="T65" s="219" t="n">
        <f aca="false">IF(ISERROR(Q65*J65),0,Q65*J65)</f>
        <v>0</v>
      </c>
      <c r="U65" s="206" t="str">
        <f aca="false">IF(AND(A65="",F65=0),"",IF(F65=0,"Il manque le(s) % de rec. !",""))</f>
        <v/>
      </c>
      <c r="V65" s="207"/>
      <c r="X65" s="205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08"/>
      <c r="AA65" s="209"/>
      <c r="BB65" s="8" t="str">
        <f aca="false">IF(A65="","",1)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3" t="n">
        <f aca="false">IF(D66="",,VLOOKUP(D66,D$22:D51,1,0))</f>
        <v>0</v>
      </c>
      <c r="F66" s="223" t="n">
        <f aca="false">($B66*$B$7+$C66*$C$7)/100</f>
        <v>0</v>
      </c>
      <c r="G66" s="215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198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6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0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7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18"/>
      <c r="M66" s="218"/>
      <c r="N66" s="218"/>
      <c r="O66" s="203"/>
      <c r="P66" s="204" t="str">
        <f aca="false">IF(ISTEXT(H66),"",(B66*$B$7/100)+(C66*$C$7/100))</f>
        <v/>
      </c>
      <c r="Q66" s="205" t="str">
        <f aca="false">IF(OR(ISTEXT(H66),P66=0),"",IF(P66&lt;0.1,1,IF(P66&lt;1,2,IF(P66&lt;10,3,IF(P66&lt;50,4,IF(P66&gt;=50,5,""))))))</f>
        <v/>
      </c>
      <c r="R66" s="205" t="n">
        <f aca="false">IF(ISERROR(Q66*I66),0,Q66*I66)</f>
        <v>0</v>
      </c>
      <c r="S66" s="205" t="n">
        <f aca="false">IF(ISERROR(Q66*I66*J66),0,Q66*I66*J66)</f>
        <v>0</v>
      </c>
      <c r="T66" s="219" t="n">
        <f aca="false">IF(ISERROR(Q66*J66),0,Q66*J66)</f>
        <v>0</v>
      </c>
      <c r="U66" s="206" t="str">
        <f aca="false">IF(AND(A66="",F66=0),"",IF(F66=0,"Il manque le(s) % de rec. !",""))</f>
        <v/>
      </c>
      <c r="V66" s="207"/>
      <c r="X66" s="205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08"/>
      <c r="AA66" s="209"/>
      <c r="BB66" s="8" t="str">
        <f aca="false">IF(A66="","",1)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3" t="n">
        <f aca="false">IF(D67="",,VLOOKUP(D67,D$22:D52,1,0))</f>
        <v>0</v>
      </c>
      <c r="F67" s="223" t="n">
        <f aca="false">($B67*$B$7+$C67*$C$7)/100</f>
        <v>0</v>
      </c>
      <c r="G67" s="215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198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6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0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7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18"/>
      <c r="M67" s="218"/>
      <c r="N67" s="218"/>
      <c r="O67" s="203"/>
      <c r="P67" s="204" t="str">
        <f aca="false">IF(ISTEXT(H67),"",(B67*$B$7/100)+(C67*$C$7/100))</f>
        <v/>
      </c>
      <c r="Q67" s="205" t="str">
        <f aca="false">IF(OR(ISTEXT(H67),P67=0),"",IF(P67&lt;0.1,1,IF(P67&lt;1,2,IF(P67&lt;10,3,IF(P67&lt;50,4,IF(P67&gt;=50,5,""))))))</f>
        <v/>
      </c>
      <c r="R67" s="205" t="n">
        <f aca="false">IF(ISERROR(Q67*I67),0,Q67*I67)</f>
        <v>0</v>
      </c>
      <c r="S67" s="205" t="n">
        <f aca="false">IF(ISERROR(Q67*I67*J67),0,Q67*I67*J67)</f>
        <v>0</v>
      </c>
      <c r="T67" s="219" t="n">
        <f aca="false">IF(ISERROR(Q67*J67),0,Q67*J67)</f>
        <v>0</v>
      </c>
      <c r="U67" s="206" t="str">
        <f aca="false">IF(AND(A67="",F67=0),"",IF(F67=0,"Il manque le(s) % de rec. !",""))</f>
        <v/>
      </c>
      <c r="V67" s="207"/>
      <c r="X67" s="205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08"/>
      <c r="AA67" s="209"/>
      <c r="BB67" s="8" t="str">
        <f aca="false">IF(A67="","",1)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3" t="n">
        <f aca="false">IF(D68="",,VLOOKUP(D68,D$22:D53,1,0))</f>
        <v>0</v>
      </c>
      <c r="F68" s="223" t="n">
        <f aca="false">($B68*$B$7+$C68*$C$7)/100</f>
        <v>0</v>
      </c>
      <c r="G68" s="215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198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6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0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7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18"/>
      <c r="M68" s="218"/>
      <c r="N68" s="218"/>
      <c r="O68" s="203"/>
      <c r="P68" s="204" t="str">
        <f aca="false">IF(ISTEXT(H68),"",(B68*$B$7/100)+(C68*$C$7/100))</f>
        <v/>
      </c>
      <c r="Q68" s="205" t="str">
        <f aca="false">IF(OR(ISTEXT(H68),P68=0),"",IF(P68&lt;0.1,1,IF(P68&lt;1,2,IF(P68&lt;10,3,IF(P68&lt;50,4,IF(P68&gt;=50,5,""))))))</f>
        <v/>
      </c>
      <c r="R68" s="205" t="n">
        <f aca="false">IF(ISERROR(Q68*I68),0,Q68*I68)</f>
        <v>0</v>
      </c>
      <c r="S68" s="205" t="n">
        <f aca="false">IF(ISERROR(Q68*I68*J68),0,Q68*I68*J68)</f>
        <v>0</v>
      </c>
      <c r="T68" s="219" t="n">
        <f aca="false">IF(ISERROR(Q68*J68),0,Q68*J68)</f>
        <v>0</v>
      </c>
      <c r="U68" s="206" t="str">
        <f aca="false">IF(AND(A68="",F68=0),"",IF(F68=0,"Il manque le(s) % de rec. !",""))</f>
        <v/>
      </c>
      <c r="V68" s="207"/>
      <c r="X68" s="205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08"/>
      <c r="AA68" s="209"/>
      <c r="BB68" s="8" t="str">
        <f aca="false">IF(A68="","",1)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3" t="n">
        <f aca="false">IF(D69="",,VLOOKUP(D69,D$22:D54,1,0))</f>
        <v>0</v>
      </c>
      <c r="F69" s="223" t="n">
        <f aca="false">($B69*$B$7+$C69*$C$7)/100</f>
        <v>0</v>
      </c>
      <c r="G69" s="215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198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6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0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7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18"/>
      <c r="M69" s="218"/>
      <c r="N69" s="218"/>
      <c r="O69" s="203"/>
      <c r="P69" s="204" t="str">
        <f aca="false">IF(ISTEXT(H69),"",(B69*$B$7/100)+(C69*$C$7/100))</f>
        <v/>
      </c>
      <c r="Q69" s="205" t="str">
        <f aca="false">IF(OR(ISTEXT(H69),P69=0),"",IF(P69&lt;0.1,1,IF(P69&lt;1,2,IF(P69&lt;10,3,IF(P69&lt;50,4,IF(P69&gt;=50,5,""))))))</f>
        <v/>
      </c>
      <c r="R69" s="205" t="n">
        <f aca="false">IF(ISERROR(Q69*I69),0,Q69*I69)</f>
        <v>0</v>
      </c>
      <c r="S69" s="205" t="n">
        <f aca="false">IF(ISERROR(Q69*I69*J69),0,Q69*I69*J69)</f>
        <v>0</v>
      </c>
      <c r="T69" s="219" t="n">
        <f aca="false">IF(ISERROR(Q69*J69),0,Q69*J69)</f>
        <v>0</v>
      </c>
      <c r="U69" s="206" t="str">
        <f aca="false">IF(AND(A69="",F69=0),"",IF(F69=0,"Il manque le(s) % de rec. !",""))</f>
        <v/>
      </c>
      <c r="V69" s="207"/>
      <c r="X69" s="205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08"/>
      <c r="AA69" s="209"/>
      <c r="BB69" s="8" t="str">
        <f aca="false">IF(A69="","",1)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3" t="n">
        <f aca="false">IF(D70="",,VLOOKUP(D70,D$22:D55,1,0))</f>
        <v>0</v>
      </c>
      <c r="F70" s="223" t="n">
        <f aca="false">($B70*$B$7+$C70*$C$7)/100</f>
        <v>0</v>
      </c>
      <c r="G70" s="215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198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6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0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7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18"/>
      <c r="M70" s="218"/>
      <c r="N70" s="218"/>
      <c r="O70" s="203"/>
      <c r="P70" s="204" t="str">
        <f aca="false">IF(ISTEXT(H70),"",(B70*$B$7/100)+(C70*$C$7/100))</f>
        <v/>
      </c>
      <c r="Q70" s="205" t="str">
        <f aca="false">IF(OR(ISTEXT(H70),P70=0),"",IF(P70&lt;0.1,1,IF(P70&lt;1,2,IF(P70&lt;10,3,IF(P70&lt;50,4,IF(P70&gt;=50,5,""))))))</f>
        <v/>
      </c>
      <c r="R70" s="205" t="n">
        <f aca="false">IF(ISERROR(Q70*I70),0,Q70*I70)</f>
        <v>0</v>
      </c>
      <c r="S70" s="205" t="n">
        <f aca="false">IF(ISERROR(Q70*I70*J70),0,Q70*I70*J70)</f>
        <v>0</v>
      </c>
      <c r="T70" s="219" t="n">
        <f aca="false">IF(ISERROR(Q70*J70),0,Q70*J70)</f>
        <v>0</v>
      </c>
      <c r="U70" s="206" t="str">
        <f aca="false">IF(AND(A70="",F70=0),"",IF(F70=0,"Il manque le(s) % de rec. !",""))</f>
        <v/>
      </c>
      <c r="V70" s="207"/>
      <c r="X70" s="205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08"/>
      <c r="AA70" s="209"/>
      <c r="BB70" s="8" t="str">
        <f aca="false">IF(A70="","",1)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3" t="n">
        <f aca="false">IF(D71="",,VLOOKUP(D71,D$22:D56,1,0))</f>
        <v>0</v>
      </c>
      <c r="F71" s="223" t="n">
        <f aca="false">($B71*$B$7+$C71*$C$7)/100</f>
        <v>0</v>
      </c>
      <c r="G71" s="215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198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6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0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7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18"/>
      <c r="M71" s="218"/>
      <c r="N71" s="218"/>
      <c r="O71" s="203"/>
      <c r="P71" s="204" t="str">
        <f aca="false">IF(ISTEXT(H71),"",(B71*$B$7/100)+(C71*$C$7/100))</f>
        <v/>
      </c>
      <c r="Q71" s="205" t="str">
        <f aca="false">IF(OR(ISTEXT(H71),P71=0),"",IF(P71&lt;0.1,1,IF(P71&lt;1,2,IF(P71&lt;10,3,IF(P71&lt;50,4,IF(P71&gt;=50,5,""))))))</f>
        <v/>
      </c>
      <c r="R71" s="205" t="n">
        <f aca="false">IF(ISERROR(Q71*I71),0,Q71*I71)</f>
        <v>0</v>
      </c>
      <c r="S71" s="205" t="n">
        <f aca="false">IF(ISERROR(Q71*I71*J71),0,Q71*I71*J71)</f>
        <v>0</v>
      </c>
      <c r="T71" s="219" t="n">
        <f aca="false">IF(ISERROR(Q71*J71),0,Q71*J71)</f>
        <v>0</v>
      </c>
      <c r="U71" s="206" t="str">
        <f aca="false">IF(AND(A71="",F71=0),"",IF(F71=0,"Il manque le(s) % de rec. !",""))</f>
        <v/>
      </c>
      <c r="V71" s="207"/>
      <c r="X71" s="205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08"/>
      <c r="AA71" s="209"/>
      <c r="BB71" s="8" t="str">
        <f aca="false">IF(A71="","",1)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3" t="n">
        <f aca="false">IF(D72="",,VLOOKUP(D72,D$22:D57,1,0))</f>
        <v>0</v>
      </c>
      <c r="F72" s="223" t="n">
        <f aca="false">($B72*$B$7+$C72*$C$7)/100</f>
        <v>0</v>
      </c>
      <c r="G72" s="215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198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6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0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7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18"/>
      <c r="M72" s="218"/>
      <c r="N72" s="218"/>
      <c r="O72" s="203"/>
      <c r="P72" s="204" t="str">
        <f aca="false">IF(ISTEXT(H72),"",(B72*$B$7/100)+(C72*$C$7/100))</f>
        <v/>
      </c>
      <c r="Q72" s="205" t="str">
        <f aca="false">IF(OR(ISTEXT(H72),P72=0),"",IF(P72&lt;0.1,1,IF(P72&lt;1,2,IF(P72&lt;10,3,IF(P72&lt;50,4,IF(P72&gt;=50,5,""))))))</f>
        <v/>
      </c>
      <c r="R72" s="205" t="n">
        <f aca="false">IF(ISERROR(Q72*I72),0,Q72*I72)</f>
        <v>0</v>
      </c>
      <c r="S72" s="205" t="n">
        <f aca="false">IF(ISERROR(Q72*I72*J72),0,Q72*I72*J72)</f>
        <v>0</v>
      </c>
      <c r="T72" s="219" t="n">
        <f aca="false">IF(ISERROR(Q72*J72),0,Q72*J72)</f>
        <v>0</v>
      </c>
      <c r="U72" s="206" t="str">
        <f aca="false">IF(AND(A72="",F72=0),"",IF(F72=0,"Il manque le(s) % de rec. !",""))</f>
        <v/>
      </c>
      <c r="V72" s="207"/>
      <c r="X72" s="205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08"/>
      <c r="AA72" s="209"/>
      <c r="BB72" s="8" t="str">
        <f aca="false">IF(A72="","",1)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3" t="n">
        <f aca="false">IF(D73="",,VLOOKUP(D73,D$22:D57,1,0))</f>
        <v>0</v>
      </c>
      <c r="F73" s="223" t="n">
        <f aca="false">($B73*$B$7+$C73*$C$7)/100</f>
        <v>0</v>
      </c>
      <c r="G73" s="215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198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6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0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7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18"/>
      <c r="M73" s="218"/>
      <c r="N73" s="218"/>
      <c r="O73" s="203"/>
      <c r="P73" s="204" t="str">
        <f aca="false">IF(ISTEXT(H73),"",(B73*$B$7/100)+(C73*$C$7/100))</f>
        <v/>
      </c>
      <c r="Q73" s="205" t="str">
        <f aca="false">IF(OR(ISTEXT(H73),P73=0),"",IF(P73&lt;0.1,1,IF(P73&lt;1,2,IF(P73&lt;10,3,IF(P73&lt;50,4,IF(P73&gt;=50,5,""))))))</f>
        <v/>
      </c>
      <c r="R73" s="205" t="n">
        <f aca="false">IF(ISERROR(Q73*I73),0,Q73*I73)</f>
        <v>0</v>
      </c>
      <c r="S73" s="205" t="n">
        <f aca="false">IF(ISERROR(Q73*I73*J73),0,Q73*I73*J73)</f>
        <v>0</v>
      </c>
      <c r="T73" s="219" t="n">
        <f aca="false">IF(ISERROR(Q73*J73),0,Q73*J73)</f>
        <v>0</v>
      </c>
      <c r="U73" s="206" t="str">
        <f aca="false">IF(AND(A73="",F73=0),"",IF(F73=0,"Il manque le(s) % de rec. !",""))</f>
        <v/>
      </c>
      <c r="V73" s="207"/>
      <c r="X73" s="205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08"/>
      <c r="AA73" s="209"/>
      <c r="BB73" s="8" t="str">
        <f aca="false">IF(A73="","",1)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3" t="n">
        <f aca="false">IF(D74="",,VLOOKUP(D74,D$22:D58,1,0))</f>
        <v>0</v>
      </c>
      <c r="F74" s="223" t="n">
        <f aca="false">($B74*$B$7+$C74*$C$7)/100</f>
        <v>0</v>
      </c>
      <c r="G74" s="215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198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6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0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7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18"/>
      <c r="M74" s="218"/>
      <c r="N74" s="218"/>
      <c r="O74" s="203"/>
      <c r="P74" s="204" t="str">
        <f aca="false">IF(ISTEXT(H74),"",(B74*$B$7/100)+(C74*$C$7/100))</f>
        <v/>
      </c>
      <c r="Q74" s="205" t="str">
        <f aca="false">IF(OR(ISTEXT(H74),P74=0),"",IF(P74&lt;0.1,1,IF(P74&lt;1,2,IF(P74&lt;10,3,IF(P74&lt;50,4,IF(P74&gt;=50,5,""))))))</f>
        <v/>
      </c>
      <c r="R74" s="205" t="n">
        <f aca="false">IF(ISERROR(Q74*I74),0,Q74*I74)</f>
        <v>0</v>
      </c>
      <c r="S74" s="205" t="n">
        <f aca="false">IF(ISERROR(Q74*I74*J74),0,Q74*I74*J74)</f>
        <v>0</v>
      </c>
      <c r="T74" s="219" t="n">
        <f aca="false">IF(ISERROR(Q74*J74),0,Q74*J74)</f>
        <v>0</v>
      </c>
      <c r="U74" s="206" t="str">
        <f aca="false">IF(AND(A74="",F74=0),"",IF(F74=0,"Il manque le(s) % de rec. !",""))</f>
        <v/>
      </c>
      <c r="V74" s="207"/>
      <c r="X74" s="205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08"/>
      <c r="AA74" s="209"/>
      <c r="BB74" s="8" t="str">
        <f aca="false">IF(A74="","",1)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3" t="n">
        <f aca="false">IF(D75="",,VLOOKUP(D75,D$22:D59,1,0))</f>
        <v>0</v>
      </c>
      <c r="F75" s="223" t="n">
        <f aca="false">($B75*$B$7+$C75*$C$7)/100</f>
        <v>0</v>
      </c>
      <c r="G75" s="215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198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6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0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7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18"/>
      <c r="M75" s="218"/>
      <c r="N75" s="218"/>
      <c r="O75" s="203"/>
      <c r="P75" s="204" t="str">
        <f aca="false">IF(ISTEXT(H75),"",(B75*$B$7/100)+(C75*$C$7/100))</f>
        <v/>
      </c>
      <c r="Q75" s="205" t="str">
        <f aca="false">IF(OR(ISTEXT(H75),P75=0),"",IF(P75&lt;0.1,1,IF(P75&lt;1,2,IF(P75&lt;10,3,IF(P75&lt;50,4,IF(P75&gt;=50,5,""))))))</f>
        <v/>
      </c>
      <c r="R75" s="205" t="n">
        <f aca="false">IF(ISERROR(Q75*I75),0,Q75*I75)</f>
        <v>0</v>
      </c>
      <c r="S75" s="205" t="n">
        <f aca="false">IF(ISERROR(Q75*I75*J75),0,Q75*I75*J75)</f>
        <v>0</v>
      </c>
      <c r="T75" s="219" t="n">
        <f aca="false">IF(ISERROR(Q75*J75),0,Q75*J75)</f>
        <v>0</v>
      </c>
      <c r="U75" s="206" t="str">
        <f aca="false">IF(AND(A75="",F75=0),"",IF(F75=0,"Il manque le(s) % de rec. !",""))</f>
        <v/>
      </c>
      <c r="V75" s="207"/>
      <c r="X75" s="205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08"/>
      <c r="AA75" s="209"/>
      <c r="BB75" s="8" t="str">
        <f aca="false">IF(A75="","",1)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3" t="n">
        <f aca="false">IF(D76="",,VLOOKUP(D76,D$22:D59,1,0))</f>
        <v>0</v>
      </c>
      <c r="F76" s="223" t="n">
        <f aca="false">($B76*$B$7+$C76*$C$7)/100</f>
        <v>0</v>
      </c>
      <c r="G76" s="215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198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6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0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7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18"/>
      <c r="M76" s="218"/>
      <c r="N76" s="218"/>
      <c r="O76" s="203"/>
      <c r="P76" s="204" t="str">
        <f aca="false">IF(ISTEXT(H76),"",(B76*$B$7/100)+(C76*$C$7/100))</f>
        <v/>
      </c>
      <c r="Q76" s="205" t="str">
        <f aca="false">IF(OR(ISTEXT(H76),P76=0),"",IF(P76&lt;0.1,1,IF(P76&lt;1,2,IF(P76&lt;10,3,IF(P76&lt;50,4,IF(P76&gt;=50,5,""))))))</f>
        <v/>
      </c>
      <c r="R76" s="205" t="n">
        <f aca="false">IF(ISERROR(Q76*I76),0,Q76*I76)</f>
        <v>0</v>
      </c>
      <c r="S76" s="205" t="n">
        <f aca="false">IF(ISERROR(Q76*I76*J76),0,Q76*I76*J76)</f>
        <v>0</v>
      </c>
      <c r="T76" s="219" t="n">
        <f aca="false">IF(ISERROR(Q76*J76),0,Q76*J76)</f>
        <v>0</v>
      </c>
      <c r="U76" s="206" t="str">
        <f aca="false">IF(AND(A76="",F76=0),"",IF(F76=0,"Il manque le(s) % de rec. !",""))</f>
        <v/>
      </c>
      <c r="V76" s="207"/>
      <c r="X76" s="205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08"/>
      <c r="AA76" s="209"/>
      <c r="BB76" s="8" t="str">
        <f aca="false">IF(A76="","",1)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3" t="n">
        <f aca="false">IF(D77="",,VLOOKUP(D77,D$22:D75,1,0))</f>
        <v>0</v>
      </c>
      <c r="F77" s="223" t="n">
        <f aca="false">($B77*$B$7+$C77*$C$7)/100</f>
        <v>0</v>
      </c>
      <c r="G77" s="215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198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6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0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7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18"/>
      <c r="M77" s="218"/>
      <c r="N77" s="218"/>
      <c r="O77" s="203"/>
      <c r="P77" s="204" t="str">
        <f aca="false">IF(ISTEXT(H77),"",(B77*$B$7/100)+(C77*$C$7/100))</f>
        <v/>
      </c>
      <c r="Q77" s="205" t="str">
        <f aca="false">IF(OR(ISTEXT(H77),P77=0),"",IF(P77&lt;0.1,1,IF(P77&lt;1,2,IF(P77&lt;10,3,IF(P77&lt;50,4,IF(P77&gt;=50,5,""))))))</f>
        <v/>
      </c>
      <c r="R77" s="205" t="n">
        <f aca="false">IF(ISERROR(Q77*I77),0,Q77*I77)</f>
        <v>0</v>
      </c>
      <c r="S77" s="205" t="n">
        <f aca="false">IF(ISERROR(Q77*I77*J77),0,Q77*I77*J77)</f>
        <v>0</v>
      </c>
      <c r="T77" s="219" t="n">
        <f aca="false">IF(ISERROR(Q77*J77),0,Q77*J77)</f>
        <v>0</v>
      </c>
      <c r="U77" s="206" t="str">
        <f aca="false">IF(AND(A77="",F77=0),"",IF(F77=0,"Il manque le(s) % de rec. !",""))</f>
        <v/>
      </c>
      <c r="V77" s="207"/>
      <c r="X77" s="205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08"/>
      <c r="AA77" s="209"/>
      <c r="BB77" s="8" t="str">
        <f aca="false">IF(A77="","",1)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3" t="n">
        <f aca="false">IF(D78="",,VLOOKUP(D78,D$22:D75,1,0))</f>
        <v>0</v>
      </c>
      <c r="F78" s="223" t="n">
        <f aca="false">($B78*$B$7+$C78*$C$7)/100</f>
        <v>0</v>
      </c>
      <c r="G78" s="215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198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6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0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7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18"/>
      <c r="M78" s="218"/>
      <c r="N78" s="218"/>
      <c r="O78" s="203"/>
      <c r="P78" s="204" t="str">
        <f aca="false">IF(ISTEXT(H78),"",(B78*$B$7/100)+(C78*$C$7/100))</f>
        <v/>
      </c>
      <c r="Q78" s="205" t="str">
        <f aca="false">IF(OR(ISTEXT(H78),P78=0),"",IF(P78&lt;0.1,1,IF(P78&lt;1,2,IF(P78&lt;10,3,IF(P78&lt;50,4,IF(P78&gt;=50,5,""))))))</f>
        <v/>
      </c>
      <c r="R78" s="205" t="n">
        <f aca="false">IF(ISERROR(Q78*I78),0,Q78*I78)</f>
        <v>0</v>
      </c>
      <c r="S78" s="205" t="n">
        <f aca="false">IF(ISERROR(Q78*I78*J78),0,Q78*I78*J78)</f>
        <v>0</v>
      </c>
      <c r="T78" s="219" t="n">
        <f aca="false">IF(ISERROR(Q78*J78),0,Q78*J78)</f>
        <v>0</v>
      </c>
      <c r="U78" s="206" t="str">
        <f aca="false">IF(AND(A78="",F78=0),"",IF(F78=0,"Il manque le(s) % de rec. !",""))</f>
        <v/>
      </c>
      <c r="V78" s="207"/>
      <c r="X78" s="205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08"/>
      <c r="AA78" s="209"/>
      <c r="BB78" s="8" t="str">
        <f aca="false">IF(A78="","",1)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3" t="n">
        <f aca="false">IF(D79="",,VLOOKUP(D79,D$22:D75,1,0))</f>
        <v>0</v>
      </c>
      <c r="F79" s="223" t="n">
        <f aca="false">($B79*$B$7+$C79*$C$7)/100</f>
        <v>0</v>
      </c>
      <c r="G79" s="215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198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6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0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7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18"/>
      <c r="M79" s="218"/>
      <c r="N79" s="218"/>
      <c r="O79" s="203"/>
      <c r="P79" s="204" t="str">
        <f aca="false">IF(ISTEXT(H79),"",(B79*$B$7/100)+(C79*$C$7/100))</f>
        <v/>
      </c>
      <c r="Q79" s="205" t="str">
        <f aca="false">IF(OR(ISTEXT(H79),P79=0),"",IF(P79&lt;0.1,1,IF(P79&lt;1,2,IF(P79&lt;10,3,IF(P79&lt;50,4,IF(P79&gt;=50,5,""))))))</f>
        <v/>
      </c>
      <c r="R79" s="205" t="n">
        <f aca="false">IF(ISERROR(Q79*I79),0,Q79*I79)</f>
        <v>0</v>
      </c>
      <c r="S79" s="205" t="n">
        <f aca="false">IF(ISERROR(Q79*I79*J79),0,Q79*I79*J79)</f>
        <v>0</v>
      </c>
      <c r="T79" s="219" t="n">
        <f aca="false">IF(ISERROR(Q79*J79),0,Q79*J79)</f>
        <v>0</v>
      </c>
      <c r="U79" s="206" t="str">
        <f aca="false">IF(AND(A79="",F79=0),"",IF(F79=0,"Il manque le(s) % de rec. !",""))</f>
        <v/>
      </c>
      <c r="V79" s="207"/>
      <c r="X79" s="205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08"/>
      <c r="AA79" s="209"/>
      <c r="BB79" s="8" t="str">
        <f aca="false">IF(A79="","",1)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3" t="n">
        <f aca="false">IF(D80="",,VLOOKUP(D80,D$22:D79,1,0))</f>
        <v>0</v>
      </c>
      <c r="F80" s="223" t="n">
        <f aca="false">($B80*$B$7+$C80*$C$7)/100</f>
        <v>0</v>
      </c>
      <c r="G80" s="215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198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6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0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7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18"/>
      <c r="M80" s="218"/>
      <c r="N80" s="218"/>
      <c r="O80" s="203"/>
      <c r="P80" s="204" t="str">
        <f aca="false">IF(ISTEXT(H80),"",(B80*$B$7/100)+(C80*$C$7/100))</f>
        <v/>
      </c>
      <c r="Q80" s="205" t="str">
        <f aca="false">IF(OR(ISTEXT(H80),P80=0),"",IF(P80&lt;0.1,1,IF(P80&lt;1,2,IF(P80&lt;10,3,IF(P80&lt;50,4,IF(P80&gt;=50,5,""))))))</f>
        <v/>
      </c>
      <c r="R80" s="205" t="n">
        <f aca="false">IF(ISERROR(Q80*I80),0,Q80*I80)</f>
        <v>0</v>
      </c>
      <c r="S80" s="205" t="n">
        <f aca="false">IF(ISERROR(Q80*I80*J80),0,Q80*I80*J80)</f>
        <v>0</v>
      </c>
      <c r="T80" s="219" t="n">
        <f aca="false">IF(ISERROR(Q80*J80),0,Q80*J80)</f>
        <v>0</v>
      </c>
      <c r="U80" s="206" t="str">
        <f aca="false">IF(AND(A80="",F80=0),"",IF(F80=0,"Il manque le(s) % de rec. !",""))</f>
        <v/>
      </c>
      <c r="V80" s="207"/>
      <c r="X80" s="205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08"/>
      <c r="AA80" s="209"/>
      <c r="BB80" s="8" t="str">
        <f aca="false">IF(A80="","",1)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3" t="n">
        <f aca="false">IF(D81="",,VLOOKUP(D81,D$21:D80,1,0))</f>
        <v>0</v>
      </c>
      <c r="F81" s="223" t="n">
        <f aca="false">($B81*$B$7+$C81*$C$7)/100</f>
        <v>0</v>
      </c>
      <c r="G81" s="215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198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6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0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7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20"/>
      <c r="M81" s="220"/>
      <c r="N81" s="220"/>
      <c r="O81" s="203"/>
      <c r="P81" s="204" t="str">
        <f aca="false">IF(ISTEXT(H81),"",(B81*$B$7/100)+(C81*$C$7/100))</f>
        <v/>
      </c>
      <c r="Q81" s="205" t="str">
        <f aca="false">IF(OR(ISTEXT(H81),P81=0),"",IF(P81&lt;0.1,1,IF(P81&lt;1,2,IF(P81&lt;10,3,IF(P81&lt;50,4,IF(P81&gt;=50,5,""))))))</f>
        <v/>
      </c>
      <c r="R81" s="205" t="n">
        <f aca="false">IF(ISERROR(Q81*I81),0,Q81*I81)</f>
        <v>0</v>
      </c>
      <c r="S81" s="205" t="n">
        <f aca="false">IF(ISERROR(Q81*I81*J81),0,Q81*I81*J81)</f>
        <v>0</v>
      </c>
      <c r="T81" s="219" t="n">
        <f aca="false">IF(ISERROR(Q81*J81),0,Q81*J81)</f>
        <v>0</v>
      </c>
      <c r="U81" s="206" t="str">
        <f aca="false">IF(AND(A81="",F81=0),"",IF(F81=0,"Il manque le(s) % de rec. !",""))</f>
        <v/>
      </c>
      <c r="V81" s="207"/>
      <c r="W81" s="225"/>
      <c r="X81" s="205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08"/>
      <c r="AA81" s="209"/>
      <c r="BB81" s="8" t="str">
        <f aca="false">IF(A81="","",1)</f>
        <v/>
      </c>
    </row>
    <row r="82" customFormat="false" ht="12.75" hidden="true" customHeight="false" outlineLevel="0" collapsed="false">
      <c r="A82" s="226"/>
      <c r="B82" s="227"/>
      <c r="C82" s="228"/>
      <c r="D82" s="229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0" t="n">
        <f aca="false">IF(D82="",,VLOOKUP(D82,D$20:D80,1,0))</f>
        <v>0</v>
      </c>
      <c r="F82" s="231" t="n">
        <f aca="false">($B82*$B$7+$C82*$C$7)/100</f>
        <v>0</v>
      </c>
      <c r="G82" s="232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198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3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3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4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5"/>
      <c r="M82" s="235"/>
      <c r="N82" s="235"/>
      <c r="O82" s="236"/>
      <c r="P82" s="204" t="str">
        <f aca="false">IF(ISTEXT(H82),"",(B82*$B$7/100)+(C82*$C$7/100))</f>
        <v/>
      </c>
      <c r="Q82" s="205" t="str">
        <f aca="false">IF(OR(ISTEXT(H82),P82=0),"",IF(P82&lt;0.1,1,IF(P82&lt;1,2,IF(P82&lt;10,3,IF(P82&lt;50,4,IF(P82&gt;=50,5,""))))))</f>
        <v/>
      </c>
      <c r="R82" s="205" t="n">
        <f aca="false">IF(ISERROR(Q82*I82),0,Q82*I82)</f>
        <v>0</v>
      </c>
      <c r="S82" s="205" t="n">
        <f aca="false">IF(ISERROR(Q82*I82*J82),0,Q82*I82*J82)</f>
        <v>0</v>
      </c>
      <c r="T82" s="219" t="n">
        <f aca="false">IF(ISERROR(Q82*J82),0,Q82*J82)</f>
        <v>0</v>
      </c>
      <c r="U82" s="206" t="str">
        <f aca="false">IF(AND(A82="",F82=0),"",IF(F82=0,"Il manque le(s) % de rec. !",""))</f>
        <v/>
      </c>
      <c r="V82" s="237"/>
      <c r="W82" s="238"/>
      <c r="X82" s="205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08"/>
      <c r="AA82" s="209"/>
      <c r="BB82" s="8" t="str">
        <f aca="false">IF(A82="","",1)</f>
        <v/>
      </c>
    </row>
    <row r="83" customFormat="false" ht="13.8" hidden="true" customHeight="false" outlineLevel="0" collapsed="false">
      <c r="A83" s="239" t="s">
        <v>88</v>
      </c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205"/>
      <c r="N83" s="205"/>
      <c r="O83" s="240"/>
      <c r="P83" s="240"/>
      <c r="Q83" s="240"/>
      <c r="R83" s="240"/>
      <c r="S83" s="8"/>
      <c r="T83" s="8"/>
      <c r="U83" s="240"/>
      <c r="V83" s="240"/>
      <c r="W83" s="240"/>
      <c r="X83" s="241"/>
      <c r="Y83" s="241"/>
      <c r="Z83" s="241"/>
      <c r="AA83" s="242"/>
      <c r="AB83" s="242"/>
      <c r="AC83" s="242"/>
    </row>
    <row r="84" customFormat="false" ht="12.75" hidden="true" customHeight="false" outlineLevel="0" collapsed="false">
      <c r="A84" s="243" t="str">
        <f aca="false">A3</f>
        <v>Lignon du Velay</v>
      </c>
      <c r="B84" s="244" t="str">
        <f aca="false">C3</f>
        <v>Le Lignon du Velay à Tence</v>
      </c>
      <c r="C84" s="245" t="n">
        <f aca="false">A4</f>
        <v>40773</v>
      </c>
      <c r="D84" s="246" t="n">
        <f aca="false">IF(ISERROR(SUM($S$23:$S$82)/SUM($T$23:$T$82)),"",SUM($S$23:$S$82)/SUM($T$23:$T$82))</f>
        <v>12.1304347826087</v>
      </c>
      <c r="E84" s="247" t="n">
        <f aca="false">N13</f>
        <v>13</v>
      </c>
      <c r="F84" s="244" t="n">
        <f aca="false">N14</f>
        <v>6</v>
      </c>
      <c r="G84" s="244" t="n">
        <f aca="false">N15</f>
        <v>3</v>
      </c>
      <c r="H84" s="244" t="n">
        <f aca="false">N16</f>
        <v>2</v>
      </c>
      <c r="I84" s="244" t="n">
        <f aca="false">N17</f>
        <v>1</v>
      </c>
      <c r="J84" s="248" t="n">
        <f aca="false">N8</f>
        <v>11.3333333333333</v>
      </c>
      <c r="K84" s="246" t="n">
        <f aca="false">N9</f>
        <v>3.98329846567724</v>
      </c>
      <c r="L84" s="247" t="n">
        <f aca="false">N10</f>
        <v>6</v>
      </c>
      <c r="M84" s="247" t="n">
        <f aca="false">N11</f>
        <v>17</v>
      </c>
      <c r="N84" s="246" t="n">
        <f aca="false">O8</f>
        <v>1.66666666666667</v>
      </c>
      <c r="O84" s="246" t="n">
        <f aca="false">O9</f>
        <v>0.816496580927726</v>
      </c>
      <c r="P84" s="247" t="n">
        <f aca="false">O10</f>
        <v>1</v>
      </c>
      <c r="Q84" s="247" t="n">
        <f aca="false">O11</f>
        <v>3</v>
      </c>
      <c r="R84" s="249" t="n">
        <f aca="false">F21</f>
        <v>3.6641</v>
      </c>
      <c r="S84" s="247" t="n">
        <f aca="false">K11</f>
        <v>0</v>
      </c>
      <c r="T84" s="247" t="n">
        <f aca="false">K12</f>
        <v>3</v>
      </c>
      <c r="U84" s="247" t="n">
        <f aca="false">K13</f>
        <v>0</v>
      </c>
      <c r="V84" s="250" t="n">
        <f aca="false">K14</f>
        <v>0</v>
      </c>
      <c r="W84" s="251" t="n">
        <f aca="false">K15</f>
        <v>9</v>
      </c>
      <c r="Y84" s="225"/>
      <c r="Z84" s="225"/>
      <c r="AA84" s="242"/>
      <c r="AB84" s="242"/>
      <c r="AC84" s="242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2" t="s">
        <v>89</v>
      </c>
      <c r="Q86" s="8"/>
      <c r="R86" s="206"/>
      <c r="S86" s="8"/>
      <c r="T86" s="8"/>
      <c r="U86" s="8"/>
    </row>
    <row r="87" customFormat="false" ht="12.75" hidden="true" customHeight="false" outlineLevel="0" collapsed="false">
      <c r="P87" s="8" t="s">
        <v>90</v>
      </c>
      <c r="Q87" s="8"/>
      <c r="R87" s="206" t="n">
        <f aca="false">VLOOKUP(MAX($R$23:$R$82),($R$23:$T$82),1,0)</f>
        <v>51</v>
      </c>
      <c r="S87" s="8"/>
      <c r="T87" s="8"/>
      <c r="U87" s="8"/>
    </row>
    <row r="88" customFormat="false" ht="12.75" hidden="true" customHeight="false" outlineLevel="0" collapsed="false">
      <c r="P88" s="8" t="s">
        <v>91</v>
      </c>
      <c r="Q88" s="8"/>
      <c r="R88" s="206" t="n">
        <f aca="false">VLOOKUP((R87),($R$23:$T$82),2,0)</f>
        <v>153</v>
      </c>
      <c r="S88" s="8"/>
      <c r="T88" s="8"/>
      <c r="U88" s="8"/>
    </row>
    <row r="89" customFormat="false" ht="12.75" hidden="true" customHeight="false" outlineLevel="0" collapsed="false">
      <c r="P89" s="8" t="s">
        <v>92</v>
      </c>
      <c r="Q89" s="8"/>
      <c r="R89" s="206" t="n">
        <f aca="false">VLOOKUP((R87),($R$23:$T$82),3,0)</f>
        <v>9</v>
      </c>
      <c r="S89" s="8"/>
    </row>
    <row r="90" customFormat="false" ht="12.75" hidden="true" customHeight="false" outlineLevel="0" collapsed="false">
      <c r="P90" s="8" t="s">
        <v>93</v>
      </c>
      <c r="Q90" s="8"/>
      <c r="R90" s="253" t="n">
        <f aca="false">IF(ISERROR(SUM($S$23:$S$82)/SUM($T$23:$T$82)),"",(SUM($S$23:$S$82)-R88)/(SUM($T$23:$T$82)-R89))</f>
        <v>9</v>
      </c>
      <c r="S90" s="8"/>
    </row>
    <row r="91" customFormat="false" ht="12.75" hidden="true" customHeight="false" outlineLevel="0" collapsed="false">
      <c r="P91" s="205" t="s">
        <v>94</v>
      </c>
      <c r="Q91" s="205"/>
      <c r="R91" s="205" t="str">
        <f aca="false">INDEX('[1]liste reference'!$A$7:$A$906,$S$91)</f>
        <v>COLFLU</v>
      </c>
      <c r="S91" s="8" t="n">
        <f aca="false">IF(ISERROR(MATCH($R$93,'[1]liste reference'!$A$7:$A$906,0)),MATCH($R$93,'[1]liste reference'!$B$7:$B$906,0),(MATCH($R$93,'[1]liste reference'!$A$7:$A$906,0)))</f>
        <v>86</v>
      </c>
      <c r="T91" s="242"/>
    </row>
    <row r="92" customFormat="false" ht="12.75" hidden="true" customHeight="false" outlineLevel="0" collapsed="false">
      <c r="P92" s="8" t="s">
        <v>95</v>
      </c>
      <c r="Q92" s="8"/>
      <c r="R92" s="8" t="n">
        <f aca="false">MATCH(R87,$R$23:$R$82,0)</f>
        <v>4</v>
      </c>
      <c r="S92" s="8"/>
    </row>
    <row r="93" customFormat="false" ht="12.75" hidden="true" customHeight="false" outlineLevel="0" collapsed="false">
      <c r="P93" s="205" t="s">
        <v>96</v>
      </c>
      <c r="Q93" s="8"/>
      <c r="R93" s="205" t="str">
        <f aca="false">INDEX($A$23:$A$82,$R$92)</f>
        <v>COLFLU</v>
      </c>
      <c r="S93" s="8"/>
    </row>
    <row r="94" customFormat="false" ht="12.75" hidden="false" customHeight="false" outlineLevel="0" collapsed="false">
      <c r="R94" s="242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B18: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2024-03-14T18:39:41Z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