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2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'04003200'!$A$1:$O$82</definedName>
    <definedName function="false" hidden="false" localSheetId="0" name="Excel_BuiltIn__FilterDatabase" vbProcedure="false">'04003200'!$A$23:$J$84</definedName>
    <definedName function="false" hidden="false" localSheetId="0" name="NOM" vbProcedure="false">'04003200'!$H$1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<sst xmlns="http://schemas.openxmlformats.org/spreadsheetml/2006/main" count="123" uniqueCount="114">
  <si>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</si>
  <si>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</si>
  <si>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</si>
  <si>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Benjamin POUJARDIEU, Yann TRACOL</t>
  </si>
  <si>
    <t xml:space="preserve">conforme AFNOR T90-395 oct. 2003</t>
  </si>
  <si>
    <t xml:space="preserve">le Lignon</t>
  </si>
  <si>
    <t xml:space="preserve">LIGNON-DU-VELAY à TENCE</t>
  </si>
  <si>
    <t xml:space="preserve">04003200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</si>
  <si>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</si>
  <si>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</si>
  <si>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</si>
  <si>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</si>
  <si>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</si>
  <si>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</si>
  <si>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</si>
  <si>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</si>
  <si>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</si>
  <si>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</si>
  <si>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</si>
  <si>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</si>
  <si>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</si>
  <si>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</si>
  <si>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</si>
  <si>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</si>
  <si>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</si>
  <si>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</si>
  <si>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</si>
  <si>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</si>
  <si>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</si>
  <si>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</si>
  <si>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</si>
  <si>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</si>
  <si>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</si>
  <si>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</si>
  <si>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</si>
  <si>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</si>
  <si>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</si>
  <si>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</si>
  <si>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</si>
  <si>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</si>
  <si>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</si>
  <si>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</si>
  <si>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</si>
  <si>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</si>
  <si>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</si>
  <si>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</si>
  <si>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</si>
  <si>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</si>
  <si>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</si>
  <si>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</si>
  <si>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</si>
  <si>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</si>
  <si>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</si>
  <si>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</si>
  <si>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</si>
  <si>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</si>
  <si>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</si>
  <si>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</si>
  <si>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</si>
  <si>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(41,9283747782744 %)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</si>
  <si>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</si>
  <si>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</si>
  <si>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</si>
  <si>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</si>
  <si>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</si>
  <si>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</si>
  <si>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</si>
  <si>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</si>
  <si>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</si>
  <si>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</si>
  <si>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</si>
  <si>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</si>
  <si>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</si>
  <si>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</si>
  <si>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</si>
  <si>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</si>
  <si>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</si>
  <si>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</si>
  <si>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</si>
  <si>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SCISYL</t>
  </si>
  <si>
    <t xml:space="preserve">EURSPX</t>
  </si>
  <si>
    <t xml:space="preserve">EQUARV</t>
  </si>
  <si>
    <t xml:space="preserve">RHYRIP</t>
  </si>
  <si>
    <t xml:space="preserve">CALHAM</t>
  </si>
  <si>
    <t xml:space="preserve">Cf.</t>
  </si>
  <si>
    <t xml:space="preserve">FISCRA</t>
  </si>
  <si>
    <t xml:space="preserve">CHIPOL</t>
  </si>
  <si>
    <t xml:space="preserve">DERWEB</t>
  </si>
  <si>
    <t xml:space="preserve">LYSVUL</t>
  </si>
  <si>
    <t xml:space="preserve">IRIPSE</t>
  </si>
  <si>
    <t xml:space="preserve">POLAMP</t>
  </si>
  <si>
    <t xml:space="preserve">Newcod</t>
  </si>
  <si>
    <t xml:space="preserve">Rorippa sylvestris</t>
  </si>
  <si>
    <t xml:space="preserve">GLYFLU</t>
  </si>
  <si>
    <t xml:space="preserve">Epilobium sp.</t>
  </si>
  <si>
    <t xml:space="preserve">FONANT</t>
  </si>
  <si>
    <t xml:space="preserve">PHAARU</t>
  </si>
  <si>
    <t xml:space="preserve">ELEPAL</t>
  </si>
  <si>
    <t xml:space="preserve">CARACU</t>
  </si>
  <si>
    <t xml:space="preserve">STISPX</t>
  </si>
  <si>
    <t xml:space="preserve">AMBFLU</t>
  </si>
  <si>
    <t xml:space="preserve">AUDSPX</t>
  </si>
  <si>
    <t xml:space="preserve">ULOSPX</t>
  </si>
  <si>
    <t xml:space="preserve">Gomphonema sp.</t>
  </si>
  <si>
    <t xml:space="preserve">MELSPX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</si>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</sst>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9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41452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12.4444444444444</v>
      </c>
      <c r="M5" s="52"/>
      <c r="N5" s="53" t="s">
        <v>16</v>
      </c>
      <c r="O5" s="54" t="n">
        <v>12.0512820512821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82</v>
      </c>
      <c r="C7" s="66" t="n">
        <v>18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35</v>
      </c>
      <c r="C9" s="86" t="n">
        <v>75</v>
      </c>
      <c r="D9" s="87"/>
      <c r="E9" s="87"/>
      <c r="F9" s="88" t="n">
        <f aca="false">($B9*$B$7+$C9*$C$7)/100</f>
        <v>42.2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25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35.1099692415446</v>
      </c>
      <c r="C20" s="165" t="n">
        <f aca="false">SUM(C23:C82)</f>
        <v>72.9900000011548</v>
      </c>
      <c r="D20" s="166"/>
      <c r="E20" s="167" t="s">
        <v>53</v>
      </c>
      <c r="F20" s="168" t="n">
        <f aca="false">($B20*$B$7+$C20*$C$7)/100</f>
        <v>41.9283747782744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28.7901747780666</v>
      </c>
      <c r="C21" s="178" t="n">
        <f aca="false">C20*C7/100</f>
        <v>13.1382000002079</v>
      </c>
      <c r="D21" s="110" t="str">
        <f aca="false">IF(F21=0,"",IF((ABS(F21-F19))&gt;(0.2*F21),CONCATENATE(" rec. par taxa (",F21," %) supérieur à 20 % !"),""))</f>
        <v> rec. par taxa (41,9283747782744 %)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41.9283747782744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0.00179999995976686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SCISYL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0.00179999995976686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EURSPX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0.00179999995976686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EQUARV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</v>
      </c>
      <c r="C26" s="222" t="n">
        <v>0.0149999996647239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0.0026999999396503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RHYRIP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0.00179999995976686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 t="s">
        <v>84</v>
      </c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CALHAM</v>
      </c>
      <c r="Z27" s="9" t="str">
        <f aca="false">IF(ISERROR(MATCH(A27,,0)),IF(ISERROR(MATCH(A27,,0)),"",(MATCH(A27,,0))),(MATCH(A27,,0)))</f>
        <v/>
      </c>
      <c r="AA27" s="218" t="s">
        <v>84</v>
      </c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85</v>
      </c>
      <c r="B28" s="221" t="n">
        <v>0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0.00179999995976686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FISCRA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86</v>
      </c>
      <c r="B29" s="221" t="n">
        <v>0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0.00179999995976686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CHIPOL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87</v>
      </c>
      <c r="B30" s="221" t="n">
        <v>0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0.00179999995976686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DERWEB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88</v>
      </c>
      <c r="B31" s="221" t="n">
        <v>0</v>
      </c>
      <c r="C31" s="222" t="n">
        <v>0.00999999977648258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0.00179999995976686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LYSVUL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89</v>
      </c>
      <c r="B32" s="221" t="n">
        <v>0</v>
      </c>
      <c r="C32" s="222" t="n">
        <v>0.00999999977648258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0.00179999995976686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IRIPSE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90</v>
      </c>
      <c r="B33" s="221" t="n">
        <v>0</v>
      </c>
      <c r="C33" s="222" t="n">
        <v>0.00999999977648258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0.00179999995976686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POLAMP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91</v>
      </c>
      <c r="B34" s="221" t="n">
        <v>0.00999999977648258</v>
      </c>
      <c r="C34" s="222" t="n">
        <v>0.00999999977648258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0.00999999977648258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 t="s">
        <v>84</v>
      </c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>No</v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Newcod</v>
      </c>
      <c r="Z34" s="9" t="str">
        <f aca="false">IF(ISERROR(MATCH(A34,,0)),IF(ISERROR(MATCH(A34,,0)),"",(MATCH(A34,,0))),(MATCH(A34,,0)))</f>
        <v/>
      </c>
      <c r="AA34" s="218" t="s">
        <v>84</v>
      </c>
      <c r="AB34" s="220" t="s">
        <v>92</v>
      </c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93</v>
      </c>
      <c r="B35" s="221" t="n">
        <v>0.00999999977648258</v>
      </c>
      <c r="C35" s="222" t="n">
        <v>2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0.368199999816716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GLYFLU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91</v>
      </c>
      <c r="B36" s="221" t="n">
        <v>0.00999999977648258</v>
      </c>
      <c r="C36" s="222" t="n">
        <v>0.00999999977648258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0.00999999977648258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>No</v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Newcod</v>
      </c>
      <c r="Z36" s="9" t="str">
        <f aca="false">IF(ISERROR(MATCH(A36,,0)),IF(ISERROR(MATCH(A36,,0)),"",(MATCH(A36,,0))),(MATCH(A36,,0)))</f>
        <v/>
      </c>
      <c r="AA36" s="218"/>
      <c r="AB36" s="220" t="s">
        <v>94</v>
      </c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95</v>
      </c>
      <c r="B37" s="221" t="n">
        <v>0.00999999977648258</v>
      </c>
      <c r="C37" s="222" t="n">
        <v>0.00999999977648258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0.00999999977648258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FONANT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96</v>
      </c>
      <c r="B38" s="221" t="n">
        <v>0.00999999977648258</v>
      </c>
      <c r="C38" s="222" t="n">
        <v>0.5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0.0981999998167157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PHAARU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97</v>
      </c>
      <c r="B39" s="221" t="n">
        <v>0.00999999977648258</v>
      </c>
      <c r="C39" s="222" t="n">
        <v>0.100000001490116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0.0262000000849366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ELEPAL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98</v>
      </c>
      <c r="B40" s="221" t="n">
        <v>0.00999999977648258</v>
      </c>
      <c r="C40" s="222" t="n">
        <v>0.200000002980232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0.0442000003531575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CARACU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 t="s">
        <v>99</v>
      </c>
      <c r="B41" s="221" t="n">
        <v>0.00999999977648258</v>
      </c>
      <c r="C41" s="222" t="n">
        <v>0</v>
      </c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0.00819999981671572</v>
      </c>
      <c r="G41" s="208" t="str">
        <f aca="false">IF(A41="","",IF(ISERROR(VLOOKUP($A41,,13,0)),IF(ISERROR(VLOOKUP($A41,,12,0)),"    -",VLOOKUP($A41,,12,0)),VLOOKUP($A41,,13,0)))</f>
        <v>    -</v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>STISPX</v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n">
        <f aca="false">IF(A41="","",1)</f>
        <v>1</v>
      </c>
    </row>
    <row r="42" customFormat="false" ht="12.75" hidden="false" customHeight="false" outlineLevel="0" collapsed="false">
      <c r="A42" s="220" t="s">
        <v>100</v>
      </c>
      <c r="B42" s="221" t="n">
        <v>0.0299999993294477</v>
      </c>
      <c r="C42" s="222" t="n">
        <v>0.025000000372529</v>
      </c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0.0290999995172024</v>
      </c>
      <c r="G42" s="208" t="str">
        <f aca="false">IF(A42="","",IF(ISERROR(VLOOKUP($A42,,13,0)),IF(ISERROR(VLOOKUP($A42,,12,0)),"    -",VLOOKUP($A42,,12,0)),VLOOKUP($A42,,13,0)))</f>
        <v>    -</v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>AMBFLU</v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n">
        <f aca="false">IF(A42="","",1)</f>
        <v>1</v>
      </c>
    </row>
    <row r="43" customFormat="false" ht="12.75" hidden="false" customHeight="false" outlineLevel="0" collapsed="false">
      <c r="A43" s="220" t="s">
        <v>101</v>
      </c>
      <c r="B43" s="221" t="n">
        <v>3.33332991600037</v>
      </c>
      <c r="C43" s="222" t="n">
        <v>0</v>
      </c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2.7333305311203</v>
      </c>
      <c r="G43" s="208" t="str">
        <f aca="false">IF(A43="","",IF(ISERROR(VLOOKUP($A43,,13,0)),IF(ISERROR(VLOOKUP($A43,,12,0)),"    -",VLOOKUP($A43,,12,0)),VLOOKUP($A43,,13,0)))</f>
        <v>    -</v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>code non répertorié ou synonyme</v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>AUDSPX</v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n">
        <f aca="false">IF(A43="","",1)</f>
        <v>1</v>
      </c>
    </row>
    <row r="44" customFormat="false" ht="12.75" hidden="false" customHeight="false" outlineLevel="0" collapsed="false">
      <c r="A44" s="220" t="s">
        <v>102</v>
      </c>
      <c r="B44" s="221" t="n">
        <v>5</v>
      </c>
      <c r="C44" s="222" t="n">
        <v>0.0199999995529652</v>
      </c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4.10359999991953</v>
      </c>
      <c r="G44" s="208" t="str">
        <f aca="false">IF(A44="","",IF(ISERROR(VLOOKUP($A44,,13,0)),IF(ISERROR(VLOOKUP($A44,,12,0)),"    -",VLOOKUP($A44,,12,0)),VLOOKUP($A44,,13,0)))</f>
        <v>    -</v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>code non répertorié ou synonyme</v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>ULOSPX</v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n">
        <f aca="false">IF(A44="","",1)</f>
        <v>1</v>
      </c>
    </row>
    <row r="45" customFormat="false" ht="12.75" hidden="false" customHeight="false" outlineLevel="0" collapsed="false">
      <c r="A45" s="220" t="s">
        <v>91</v>
      </c>
      <c r="B45" s="221" t="n">
        <v>6.66666984558106</v>
      </c>
      <c r="C45" s="222" t="n">
        <v>0</v>
      </c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5.46666927337647</v>
      </c>
      <c r="G45" s="208" t="str">
        <f aca="false">IF(A45="","",IF(ISERROR(VLOOKUP($A45,,13,0)),IF(ISERROR(VLOOKUP($A45,,12,0)),"    -",VLOOKUP($A45,,12,0)),VLOOKUP($A45,,13,0)))</f>
        <v>    -</v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>code non répertorié ou synonyme</v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>No</v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>Newcod</v>
      </c>
      <c r="Z45" s="9" t="str">
        <f aca="false">IF(ISERROR(MATCH(A45,,0)),IF(ISERROR(MATCH(A45,,0)),"",(MATCH(A45,,0))),(MATCH(A45,,0)))</f>
        <v/>
      </c>
      <c r="AA45" s="218"/>
      <c r="AB45" s="220" t="s">
        <v>103</v>
      </c>
      <c r="AC45" s="219"/>
      <c r="BB45" s="9" t="n">
        <f aca="false">IF(A45="","",1)</f>
        <v>1</v>
      </c>
    </row>
    <row r="46" customFormat="false" ht="12.75" hidden="false" customHeight="false" outlineLevel="0" collapsed="false">
      <c r="A46" s="220" t="s">
        <v>16</v>
      </c>
      <c r="B46" s="221" t="n">
        <v>6.66666984558106</v>
      </c>
      <c r="C46" s="222" t="n">
        <v>0</v>
      </c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5.46666927337647</v>
      </c>
      <c r="G46" s="208" t="str">
        <f aca="false">IF(A46="","",IF(ISERROR(VLOOKUP($A46,,13,0)),IF(ISERROR(VLOOKUP($A46,,12,0)),"    -",VLOOKUP($A46,,12,0)),VLOOKUP($A46,,13,0)))</f>
        <v>    -</v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>code non répertorié ou synonyme</v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>LEASPX</v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n">
        <f aca="false">IF(A46="","",1)</f>
        <v>1</v>
      </c>
    </row>
    <row r="47" customFormat="false" ht="12.75" hidden="false" customHeight="false" outlineLevel="0" collapsed="false">
      <c r="A47" s="220" t="s">
        <v>104</v>
      </c>
      <c r="B47" s="221" t="n">
        <v>13.3332996368408</v>
      </c>
      <c r="C47" s="222" t="n">
        <v>70</v>
      </c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23.5333057022095</v>
      </c>
      <c r="G47" s="208" t="str">
        <f aca="false">IF(A47="","",IF(ISERROR(VLOOKUP($A47,,13,0)),IF(ISERROR(VLOOKUP($A47,,12,0)),"    -",VLOOKUP($A47,,12,0)),VLOOKUP($A47,,13,0)))</f>
        <v>    -</v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>code non répertorié ou synonyme</v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>MELSPX</v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n">
        <f aca="false">IF(A47="","",1)</f>
        <v>1</v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105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le Lignon</v>
      </c>
      <c r="B84" s="256" t="str">
        <f aca="false">C3</f>
        <v>LIGNON-DU-VELAY à TENCE</v>
      </c>
      <c r="C84" s="257" t="n">
        <f aca="false">A4</f>
        <v>41452</v>
      </c>
      <c r="D84" s="258" t="str">
        <f aca="false">IF(ISERROR(SUM($T$23:$T$82)/SUM($U$23:$U$82)),"",SUM($T$23:$T$82)/SUM($U$23:$U$82))</f>
        <v/>
      </c>
      <c r="E84" s="259" t="n">
        <f aca="false">N13</f>
        <v>25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41.9283747782744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106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107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108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109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110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111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112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113</v>
      </c>
      <c r="R93" s="9"/>
      <c r="S93" s="215" t="str">
        <f aca="false">INDEX($A$23:$A$82,$S$92)</f>
        <v>SCISYL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34">
    <cfRule type="expression" priority="28" aboveAverage="0" equalAverage="0" bottom="0" percent="0" rank="0" text="" dxfId="26">
      <formula>ISTEXT($E34)</formula>
    </cfRule>
  </conditionalFormatting>
  <conditionalFormatting sqref="AB36">
    <cfRule type="expression" priority="29" aboveAverage="0" equalAverage="0" bottom="0" percent="0" rank="0" text="" dxfId="27">
      <formula>ISTEXT($E36)</formula>
    </cfRule>
  </conditionalFormatting>
  <conditionalFormatting sqref="AB45">
    <cfRule type="expression" priority="30" aboveAverage="0" equalAverage="0" bottom="0" percent="0" rank="0" text="" dxfId="28">
      <formula>ISTEXT($E45)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2024-04-09T21:37:36Z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