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_rels/workbook.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ADN" sheetId="1" state="visible" r:id="rId2"/>
  </sheets>
  <externalReferences>
    <externalReference r:id="rId3"/>
  </externalReferences>
  <definedNames>
    <definedName function="false" hidden="false" localSheetId="0" name="Excel_BuiltIn_Print_Area" vbProcedure="false">ADN!$A$1:$O$82</definedName>
    <definedName function="false" hidden="false" localSheetId="0" name="Excel_BuiltIn__FilterDatabase" vbProcedure="false">ADN!$A$23:$J$84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 </author>
  </authors>
  <commentList>
    <comment ref="A2" authorId="0">
      <text>
        <r>
          <rPr>
            <sz val="10"/>
            <rFont val="Arial"/>
            <family val="2"/>
            <charset val="1"/>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8</xdr:col>
                <xdr:colOff>15</xdr:colOff>
                <xdr:row>3</xdr:row>
                <xdr:rowOff>8</xdr:rowOff>
              </xdr:to>
            </anchor>
          </commentPr>
        </mc:Choice>
        <mc:Fallback/>
      </mc:AlternateContent>
    </comment>
    <comment ref="A3" authorId="0">
      <text>
        <r>
          <rPr>
            <sz val="10"/>
            <rFont val="Arial"/>
            <family val="2"/>
            <charset val="1"/>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charset val="1"/>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8</xdr:rowOff>
              </xdr:to>
            </anchor>
          </commentPr>
        </mc:Choice>
        <mc:Fallback/>
      </mc:AlternateContent>
    </comment>
    <comment ref="A22" authorId="0">
      <text>
        <r>
          <rPr>
            <sz val="10"/>
            <rFont val="Arial"/>
            <family val="2"/>
            <charset val="1"/>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charset val="1"/>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7</xdr:rowOff>
              </xdr:from>
              <xdr:to>
                <xdr:col>5</xdr:col>
                <xdr:colOff>25</xdr:colOff>
                <xdr:row>9</xdr:row>
                <xdr:rowOff>9</xdr:rowOff>
              </xdr:to>
            </anchor>
          </commentPr>
        </mc:Choice>
        <mc:Fallback/>
      </mc:AlternateContent>
    </comment>
    <comment ref="B7" authorId="0">
      <text>
        <r>
          <rPr>
            <sz val="10"/>
            <rFont val="Arial"/>
            <family val="2"/>
            <charset val="1"/>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17</xdr:rowOff>
              </xdr:from>
              <xdr:to>
                <xdr:col>6</xdr:col>
                <xdr:colOff>28</xdr:colOff>
                <xdr:row>7</xdr:row>
                <xdr:rowOff>2</xdr:rowOff>
              </xdr:to>
            </anchor>
          </commentPr>
        </mc:Choice>
        <mc:Fallback/>
      </mc:AlternateContent>
    </comment>
    <comment ref="B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13</xdr:rowOff>
              </xdr:from>
              <xdr:to>
                <xdr:col>6</xdr:col>
                <xdr:colOff>28</xdr:colOff>
                <xdr:row>20</xdr:row>
                <xdr:rowOff>14</xdr:rowOff>
              </xdr:to>
            </anchor>
          </commentPr>
        </mc:Choice>
        <mc:Fallback/>
      </mc:AlternateContent>
    </comment>
    <comment ref="B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15</xdr:rowOff>
              </xdr:from>
              <xdr:to>
                <xdr:col>6</xdr:col>
                <xdr:colOff>28</xdr:colOff>
                <xdr:row>21</xdr:row>
                <xdr:rowOff>16</xdr:rowOff>
              </xdr:to>
            </anchor>
          </commentPr>
        </mc:Choice>
        <mc:Fallback/>
      </mc:AlternateContent>
    </comment>
    <comment ref="B22" authorId="0">
      <text>
        <r>
          <rPr>
            <sz val="10"/>
            <rFont val="Arial"/>
            <family val="2"/>
            <charset val="1"/>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6</xdr:rowOff>
              </xdr:to>
            </anchor>
          </commentPr>
        </mc:Choice>
        <mc:Fallback/>
      </mc:AlternateContent>
    </comment>
    <comment ref="C2" authorId="0">
      <text>
        <r>
          <rPr>
            <sz val="10"/>
            <rFont val="Arial"/>
            <family val="2"/>
            <charset val="1"/>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11</xdr:rowOff>
              </xdr:from>
              <xdr:to>
                <xdr:col>10</xdr:col>
                <xdr:colOff>5</xdr:colOff>
                <xdr:row>3</xdr:row>
                <xdr:rowOff>8</xdr:rowOff>
              </xdr:to>
            </anchor>
          </commentPr>
        </mc:Choice>
        <mc:Fallback/>
      </mc:AlternateContent>
    </comment>
    <comment ref="C3" authorId="0">
      <text>
        <r>
          <rPr>
            <sz val="10"/>
            <rFont val="Arial"/>
            <family val="2"/>
            <charset val="1"/>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5</xdr:rowOff>
              </xdr:from>
              <xdr:to>
                <xdr:col>10</xdr:col>
                <xdr:colOff>1</xdr:colOff>
                <xdr:row>2</xdr:row>
                <xdr:rowOff>12</xdr:rowOff>
              </xdr:to>
            </anchor>
          </commentPr>
        </mc:Choice>
        <mc:Fallback/>
      </mc:AlternateContent>
    </comment>
    <comment ref="C6" authorId="0">
      <text>
        <r>
          <rPr>
            <sz val="10"/>
            <rFont val="Arial"/>
            <family val="2"/>
            <charset val="1"/>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13</xdr:rowOff>
              </xdr:from>
              <xdr:to>
                <xdr:col>9</xdr:col>
                <xdr:colOff>18</xdr:colOff>
                <xdr:row>6</xdr:row>
                <xdr:rowOff>7</xdr:rowOff>
              </xdr:to>
            </anchor>
          </commentPr>
        </mc:Choice>
        <mc:Fallback/>
      </mc:AlternateContent>
    </comment>
    <comment ref="C7" authorId="0">
      <text>
        <r>
          <rPr>
            <sz val="10"/>
            <rFont val="Arial"/>
            <family val="2"/>
            <charset val="1"/>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6</xdr:row>
                <xdr:rowOff>0</xdr:rowOff>
              </xdr:from>
              <xdr:to>
                <xdr:col>10</xdr:col>
                <xdr:colOff>9</xdr:colOff>
                <xdr:row>8</xdr:row>
                <xdr:rowOff>5</xdr:rowOff>
              </xdr:to>
            </anchor>
          </commentPr>
        </mc:Choice>
        <mc:Fallback/>
      </mc:AlternateContent>
    </comment>
    <comment ref="C20" authorId="0">
      <text>
        <r>
          <rPr>
            <sz val="10"/>
            <rFont val="Arial"/>
            <family val="2"/>
            <charset val="1"/>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13</xdr:rowOff>
              </xdr:from>
              <xdr:to>
                <xdr:col>7</xdr:col>
                <xdr:colOff>0</xdr:colOff>
                <xdr:row>30</xdr:row>
                <xdr:rowOff>8</xdr:rowOff>
              </xdr:to>
            </anchor>
          </commentPr>
        </mc:Choice>
        <mc:Fallback/>
      </mc:AlternateContent>
    </comment>
    <comment ref="C21" authorId="0">
      <text>
        <r>
          <rPr>
            <sz val="10"/>
            <rFont val="Arial"/>
            <family val="2"/>
            <charset val="1"/>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15</xdr:rowOff>
              </xdr:from>
              <xdr:to>
                <xdr:col>11</xdr:col>
                <xdr:colOff>20</xdr:colOff>
                <xdr:row>21</xdr:row>
                <xdr:rowOff>1</xdr:rowOff>
              </xdr:to>
            </anchor>
          </commentPr>
        </mc:Choice>
        <mc:Fallback/>
      </mc:AlternateContent>
    </comment>
    <comment ref="C22" authorId="0">
      <text>
        <r>
          <rPr>
            <sz val="10"/>
            <rFont val="Arial"/>
            <family val="2"/>
            <charset val="1"/>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10</xdr:rowOff>
              </xdr:to>
            </anchor>
          </commentPr>
        </mc:Choice>
        <mc:Fallback/>
      </mc:AlternateContent>
    </comment>
    <comment ref="F8" authorId="0">
      <text>
        <r>
          <rPr>
            <sz val="10"/>
            <rFont val="Arial"/>
            <family val="2"/>
            <charset val="1"/>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7</xdr:rowOff>
              </xdr:to>
            </anchor>
          </commentPr>
        </mc:Choice>
        <mc:Fallback/>
      </mc:AlternateContent>
    </comment>
    <comment ref="F19" authorId="0">
      <text>
        <r>
          <rPr>
            <sz val="10"/>
            <rFont val="Arial"/>
            <family val="2"/>
            <charset val="1"/>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2</xdr:rowOff>
              </xdr:to>
            </anchor>
          </commentPr>
        </mc:Choice>
        <mc:Fallback/>
      </mc:AlternateContent>
    </comment>
    <comment ref="F21" authorId="0">
      <text>
        <r>
          <rPr>
            <sz val="10"/>
            <rFont val="Arial"/>
            <family val="2"/>
            <charset val="1"/>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12</xdr:rowOff>
              </xdr:to>
            </anchor>
          </commentPr>
        </mc:Choice>
        <mc:Fallback/>
      </mc:AlternateContent>
    </comment>
    <comment ref="F22" authorId="0">
      <text>
        <r>
          <rPr>
            <sz val="10"/>
            <rFont val="Arial"/>
            <family val="2"/>
            <charset val="1"/>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charset val="1"/>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7</xdr:rowOff>
              </xdr:from>
              <xdr:to>
                <xdr:col>13</xdr:col>
                <xdr:colOff>13</xdr:colOff>
                <xdr:row>11</xdr:row>
                <xdr:rowOff>15</xdr:rowOff>
              </xdr:to>
            </anchor>
          </commentPr>
        </mc:Choice>
        <mc:Fallback/>
      </mc:AlternateContent>
    </comment>
    <comment ref="G22" authorId="0">
      <text>
        <r>
          <rPr>
            <sz val="10"/>
            <rFont val="Arial"/>
            <family val="2"/>
            <charset val="1"/>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6</xdr:rowOff>
              </xdr:from>
              <xdr:to>
                <xdr:col>13</xdr:col>
                <xdr:colOff>47</xdr:colOff>
                <xdr:row>28</xdr:row>
                <xdr:rowOff>2</xdr:rowOff>
              </xdr:to>
            </anchor>
          </commentPr>
        </mc:Choice>
        <mc:Fallback/>
      </mc:AlternateContent>
    </comment>
    <comment ref="H22" authorId="0">
      <text>
        <r>
          <rPr>
            <sz val="10"/>
            <rFont val="Arial"/>
            <family val="2"/>
            <charset val="1"/>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23</xdr:row>
                <xdr:rowOff>0</xdr:rowOff>
              </xdr:to>
            </anchor>
          </commentPr>
        </mc:Choice>
        <mc:Fallback/>
      </mc:AlternateContent>
    </comment>
    <comment ref="I22" authorId="0">
      <text>
        <r>
          <rPr>
            <sz val="10"/>
            <rFont val="Arial"/>
            <family val="2"/>
            <charset val="1"/>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5</xdr:rowOff>
              </xdr:from>
              <xdr:to>
                <xdr:col>13</xdr:col>
                <xdr:colOff>26</xdr:colOff>
                <xdr:row>21</xdr:row>
                <xdr:rowOff>11</xdr:rowOff>
              </xdr:to>
            </anchor>
          </commentPr>
        </mc:Choice>
        <mc:Fallback/>
      </mc:AlternateContent>
    </comment>
    <comment ref="J22" authorId="0">
      <text>
        <r>
          <rPr>
            <sz val="10"/>
            <rFont val="Arial"/>
            <family val="2"/>
            <charset val="1"/>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charset val="1"/>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5</xdr:row>
                <xdr:rowOff>17</xdr:rowOff>
              </xdr:to>
            </anchor>
          </commentPr>
        </mc:Choice>
        <mc:Fallback/>
      </mc:AlternateContent>
    </comment>
    <comment ref="V2" authorId="0">
      <text>
        <r>
          <rPr>
            <sz val="10"/>
            <rFont val="Arial"/>
            <family val="2"/>
            <charset val="1"/>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7</xdr:rowOff>
              </xdr:from>
              <xdr:to>
                <xdr:col>23</xdr:col>
                <xdr:colOff>0</xdr:colOff>
                <xdr:row>5</xdr:row>
                <xdr:rowOff>11</xdr:rowOff>
              </xdr:to>
            </anchor>
          </commentPr>
        </mc:Choice>
        <mc:Fallback/>
      </mc:AlternateContent>
    </comment>
    <comment ref="V4" authorId="0">
      <text>
        <r>
          <rPr>
            <sz val="10"/>
            <rFont val="Arial"/>
            <family val="2"/>
            <charset val="1"/>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6</xdr:rowOff>
              </xdr:from>
              <xdr:to>
                <xdr:col>23</xdr:col>
                <xdr:colOff>0</xdr:colOff>
                <xdr:row>12</xdr:row>
                <xdr:rowOff>9</xdr:rowOff>
              </xdr:to>
            </anchor>
          </commentPr>
        </mc:Choice>
        <mc:Fallback/>
      </mc:AlternateContent>
    </comment>
    <comment ref="V6" authorId="0">
      <text>
        <r>
          <rPr>
            <sz val="10"/>
            <rFont val="Arial"/>
            <family val="2"/>
            <charset val="1"/>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9</xdr:row>
                <xdr:rowOff>16</xdr:rowOff>
              </xdr:to>
            </anchor>
          </commentPr>
        </mc:Choice>
        <mc:Fallback/>
      </mc:AlternateContent>
    </comment>
    <comment ref="AA22" authorId="0">
      <text>
        <r>
          <rPr>
            <sz val="10"/>
            <rFont val="Arial"/>
            <family val="2"/>
            <charset val="1"/>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14</xdr:row>
                <xdr:rowOff>0</xdr:rowOff>
              </xdr:from>
              <xdr:to>
                <xdr:col>28</xdr:col>
                <xdr:colOff>51</xdr:colOff>
                <xdr:row>18</xdr:row>
                <xdr:rowOff>1</xdr:rowOff>
              </xdr:to>
            </anchor>
          </commentPr>
        </mc:Choice>
        <mc:Fallback/>
      </mc:AlternateContent>
    </comment>
  </commentList>
</comments>
</file>

<file path=xl/sharedStrings.xml><?xml version="1.0" encoding="utf-8"?>
<sst xmlns="http://schemas.openxmlformats.org/spreadsheetml/2006/main" count="114" uniqueCount="110">
  <si>
    <t xml:space="preserve">Relevés floristiques aquatiques - IBMR</t>
  </si>
  <si>
    <t xml:space="preserve">GIS Macrophytes - juillet 2006</t>
  </si>
  <si>
    <t xml:space="preserve">ELEA</t>
  </si>
  <si>
    <t xml:space="preserve">Alexandra Mignon et Marie-Laure Wasier</t>
  </si>
  <si>
    <t xml:space="preserve">conforme AFNOR T90-395 oct. 2003</t>
  </si>
  <si>
    <t xml:space="preserve">ANCE DU NORD</t>
  </si>
  <si>
    <t xml:space="preserve">St Clément de Valorgue / aval pont de Raffiny</t>
  </si>
  <si>
    <t xml:space="preserve">04003640</t>
  </si>
  <si>
    <t xml:space="preserve">Réseau REF Auvergne 2007</t>
  </si>
  <si>
    <t xml:space="preserve">Résultats</t>
  </si>
  <si>
    <t xml:space="preserve">F. courant</t>
  </si>
  <si>
    <t xml:space="preserve">F. lent</t>
  </si>
  <si>
    <t xml:space="preserve">station</t>
  </si>
  <si>
    <t xml:space="preserve">IBMR:</t>
  </si>
  <si>
    <t xml:space="preserve">Type de faciès</t>
  </si>
  <si>
    <t xml:space="preserve">pl. courant</t>
  </si>
  <si>
    <t xml:space="preserve">pl. lent</t>
  </si>
  <si>
    <t xml:space="preserve">niv. trophique: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</si>
  <si>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</si>
  <si>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</si>
  <si>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</si>
  <si>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</si>
  <si>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</si>
  <si>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</si>
  <si>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</si>
  <si>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</si>
  <si>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</si>
  <si>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</si>
  <si>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</si>
  <si>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</si>
  <si>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</si>
  <si>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</si>
  <si>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</si>
  <si>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</si>
  <si>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</si>
  <si>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</si>
  <si>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</si>
  <si>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</si>
  <si>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</si>
  <si>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</si>
  <si>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</si>
  <si>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</si>
  <si>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</si>
  <si>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</si>
  <si>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</si>
  <si>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</si>
  <si>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</si>
  <si>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</si>
  <si>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</si>
  <si>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</si>
  <si>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t xml:space="preserve">ATTENTION : le total par grp. floristiques doit être égal</t>
  </si>
  <si>
    <t xml:space="preserve">au total par grp. Fonctionnels !</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</si>
  <si>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</si>
  <si>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</si>
  <si>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</si>
  <si>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</si>
  <si>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</si>
  <si>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</si>
  <si>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</si>
  <si>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</si>
  <si>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</si>
  <si>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</si>
  <si>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</si>
  <si>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</si>
  <si>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</si>
  <si>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</si>
  <si>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</si>
  <si>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</si>
  <si>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</si>
  <si>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</si>
  <si>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</si>
  <si>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</si>
  <si>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</si>
  <si>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</si>
  <si>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</si>
  <si>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OSC.SPX</t>
  </si>
  <si>
    <t xml:space="preserve">DER.WEB</t>
  </si>
  <si>
    <t xml:space="preserve">AMB.FLU</t>
  </si>
  <si>
    <t xml:space="preserve">AMB.RIP</t>
  </si>
  <si>
    <t xml:space="preserve">BRA.RIV</t>
  </si>
  <si>
    <t xml:space="preserve">CHI.POL</t>
  </si>
  <si>
    <t xml:space="preserve">JUG.ATR</t>
  </si>
  <si>
    <t xml:space="preserve">FON.SQU</t>
  </si>
  <si>
    <t xml:space="preserve">POR.COR</t>
  </si>
  <si>
    <t xml:space="preserve">RHY.RIP</t>
  </si>
  <si>
    <t xml:space="preserve">SCA.UND</t>
  </si>
  <si>
    <t xml:space="preserve">AGR.STO</t>
  </si>
  <si>
    <t xml:space="preserve">CAL.HAM</t>
  </si>
  <si>
    <t xml:space="preserve">CAL.PLA</t>
  </si>
  <si>
    <t xml:space="preserve">CAR.VES</t>
  </si>
  <si>
    <t xml:space="preserve">Cf.</t>
  </si>
  <si>
    <t xml:space="preserve">NEW.COD</t>
  </si>
  <si>
    <t xml:space="preserve">Epilobium gr. obscurum</t>
  </si>
  <si>
    <t xml:space="preserve">GLY.FLU</t>
  </si>
  <si>
    <t xml:space="preserve">JUN.ACU</t>
  </si>
  <si>
    <t xml:space="preserve">JUN.EFF</t>
  </si>
  <si>
    <t xml:space="preserve">MEN.ARV</t>
  </si>
  <si>
    <t xml:space="preserve">MYO.PAL</t>
  </si>
  <si>
    <t xml:space="preserve">PHA.ARU</t>
  </si>
  <si>
    <t xml:space="preserve">RAN.PEL</t>
  </si>
  <si>
    <t xml:space="preserve">RAN.REP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</si>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</sst>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5">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8"/>
      <color rgb="FF000000"/>
      <name val="Tahoma"/>
      <family val="2"/>
      <charset val="1"/>
    </font>
    <font>
      <i val="true"/>
      <sz val="8"/>
      <color rgb="FF000000"/>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0" fillId="4" borderId="4" xfId="0" applyFont="false" applyBorder="true" applyAlignment="fals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false" applyProtection="true">
      <alignment horizontal="general" vertical="bottom" textRotation="0" wrapText="false" indent="0" shrinkToFit="false"/>
      <protection locked="true" hidden="true"/>
    </xf>
    <xf numFmtId="164" fontId="0" fillId="4" borderId="7" xfId="0" applyFont="false" applyBorder="true" applyAlignment="fals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fals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false" applyProtection="true">
      <alignment horizontal="general" vertical="bottom" textRotation="0" wrapText="false" indent="0" shrinkToFit="false"/>
      <protection locked="true" hidden="true"/>
    </xf>
    <xf numFmtId="164" fontId="8" fillId="3" borderId="13" xfId="0" applyFont="true" applyBorder="true" applyAlignment="false" applyProtection="true">
      <alignment horizontal="general" vertical="bottom" textRotation="0" wrapText="false" indent="0" shrinkToFit="false"/>
      <protection locked="true" hidden="true"/>
    </xf>
    <xf numFmtId="164" fontId="11" fillId="7" borderId="14" xfId="0" applyFont="true" applyBorder="true" applyAlignment="false" applyProtection="true">
      <alignment horizontal="general" vertical="bottom" textRotation="0" wrapText="false" indent="0" shrinkToFit="false"/>
      <protection locked="true" hidden="true"/>
    </xf>
    <xf numFmtId="164" fontId="0" fillId="7" borderId="15" xfId="0" applyFont="false" applyBorder="true" applyAlignment="false" applyProtection="true">
      <alignment horizontal="general" vertical="bottom" textRotation="0" wrapText="false" indent="0" shrinkToFit="false"/>
      <protection locked="true" hidden="true"/>
    </xf>
    <xf numFmtId="164" fontId="0" fillId="7" borderId="16" xfId="0" applyFont="false" applyBorder="true" applyAlignment="false" applyProtection="true">
      <alignment horizontal="general" vertical="bottom" textRotation="0" wrapText="false" indent="0" shrinkToFit="false"/>
      <protection locked="true" hidden="true"/>
    </xf>
    <xf numFmtId="164" fontId="12" fillId="7" borderId="16" xfId="0" applyFont="true" applyBorder="true" applyAlignment="false" applyProtection="true">
      <alignment horizontal="general" vertical="bottom" textRotation="0" wrapText="false" indent="0" shrinkToFit="false"/>
      <protection locked="true" hidden="true"/>
    </xf>
    <xf numFmtId="164" fontId="0" fillId="7" borderId="17" xfId="0" applyFont="false" applyBorder="true" applyAlignment="fals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fals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7" borderId="15" xfId="0" applyFont="true" applyBorder="true" applyAlignment="true" applyProtection="true">
      <alignment horizontal="left" vertical="top" textRotation="0" wrapText="false" indent="0" shrinkToFit="false"/>
      <protection locked="true" hidden="true"/>
    </xf>
    <xf numFmtId="167" fontId="0" fillId="7"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fals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fals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7"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fals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fals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false" applyProtection="true">
      <alignment horizontal="general" vertical="bottom" textRotation="0" wrapText="false" indent="0" shrinkToFit="false"/>
      <protection locked="true" hidden="true"/>
    </xf>
    <xf numFmtId="164" fontId="0" fillId="4" borderId="39" xfId="0" applyFont="false" applyBorder="true" applyAlignment="false" applyProtection="true">
      <alignment horizontal="general" vertical="bottom" textRotation="0" wrapText="false" indent="0" shrinkToFit="false"/>
      <protection locked="true" hidden="true"/>
    </xf>
    <xf numFmtId="164" fontId="24" fillId="8" borderId="18" xfId="0" applyFont="true" applyBorder="true" applyAlignment="fals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fals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false" applyProtection="true">
      <alignment horizontal="general" vertical="bottom" textRotation="0" wrapText="false" indent="0" shrinkToFit="false"/>
      <protection locked="true" hidden="true"/>
    </xf>
    <xf numFmtId="170" fontId="25" fillId="6" borderId="0" xfId="0" applyFont="true" applyBorder="true" applyAlignment="fals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fals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fals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fals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fals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15" fillId="8" borderId="57" xfId="0" applyFont="true" applyBorder="true" applyAlignment="fals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false" applyProtection="true">
      <alignment horizontal="general" vertical="bottom" textRotation="0" wrapText="false" indent="0" shrinkToFit="false"/>
      <protection locked="true" hidden="true"/>
    </xf>
    <xf numFmtId="164" fontId="26" fillId="0" borderId="0" xfId="0" applyFont="true" applyBorder="false" applyAlignment="false" applyProtection="true">
      <alignment horizontal="general" vertical="bottom" textRotation="0" wrapText="false" indent="0" shrinkToFit="false"/>
      <protection locked="true" hidden="true"/>
    </xf>
    <xf numFmtId="168" fontId="26" fillId="6" borderId="1" xfId="0" applyFont="true" applyBorder="true" applyAlignment="fals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false" applyProtection="true">
      <alignment horizontal="general" vertical="bottom" textRotation="0" wrapText="false" indent="0" shrinkToFit="false"/>
      <protection locked="true" hidden="true"/>
    </xf>
    <xf numFmtId="168" fontId="27" fillId="3" borderId="27" xfId="0" applyFont="true" applyBorder="true" applyAlignment="false" applyProtection="true">
      <alignment horizontal="general" vertical="bottom" textRotation="0" wrapText="false" indent="0" shrinkToFit="false"/>
      <protection locked="true" hidden="true"/>
    </xf>
    <xf numFmtId="168" fontId="28" fillId="3" borderId="27" xfId="0" applyFont="true" applyBorder="true" applyAlignment="fals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false" applyProtection="true">
      <alignment horizontal="general" vertical="bottom" textRotation="0" wrapText="false" indent="0" shrinkToFit="false"/>
      <protection locked="true" hidden="true"/>
    </xf>
    <xf numFmtId="164" fontId="0" fillId="7" borderId="27" xfId="0" applyFont="false" applyBorder="true" applyAlignment="false" applyProtection="true">
      <alignment horizontal="general" vertical="bottom" textRotation="0" wrapText="false" indent="0" shrinkToFit="false"/>
      <protection locked="true" hidden="true"/>
    </xf>
    <xf numFmtId="164" fontId="15" fillId="7" borderId="28" xfId="0" applyFont="true" applyBorder="true" applyAlignment="fals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fals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fals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false" applyProtection="true">
      <alignment horizontal="general" vertical="bottom" textRotation="0" wrapText="false" indent="0" shrinkToFit="false"/>
      <protection locked="true" hidden="true"/>
    </xf>
    <xf numFmtId="164" fontId="29" fillId="8" borderId="26" xfId="0" applyFont="true" applyBorder="true" applyAlignment="false" applyProtection="true">
      <alignment horizontal="general" vertical="bottom" textRotation="0" wrapText="false" indent="0" shrinkToFit="false"/>
      <protection locked="true" hidden="true"/>
    </xf>
    <xf numFmtId="164" fontId="12" fillId="3" borderId="0" xfId="0" applyFont="true" applyBorder="false" applyAlignment="fals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false" applyProtection="true">
      <alignment horizontal="general" vertical="bottom" textRotation="0" wrapText="false" indent="0" shrinkToFit="false"/>
      <protection locked="true" hidden="true"/>
    </xf>
    <xf numFmtId="164" fontId="10" fillId="3" borderId="8" xfId="0" applyFont="true" applyBorder="true" applyAlignment="fals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0"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false" applyProtection="true">
      <alignment horizontal="general" vertical="bottom" textRotation="0" wrapText="false" indent="0" shrinkToFit="false"/>
      <protection locked="true" hidden="true"/>
    </xf>
    <xf numFmtId="168" fontId="0" fillId="3" borderId="0" xfId="0" applyFont="false" applyBorder="true" applyAlignment="false" applyProtection="true">
      <alignment horizontal="general" vertical="bottom" textRotation="0" wrapText="false" indent="0" shrinkToFit="false"/>
      <protection locked="true" hidden="true"/>
    </xf>
    <xf numFmtId="168" fontId="28" fillId="3" borderId="0" xfId="0" applyFont="true" applyBorder="false" applyAlignment="false" applyProtection="true">
      <alignment horizontal="general" vertical="bottom" textRotation="0" wrapText="false" indent="0" shrinkToFit="false"/>
      <protection locked="true" hidden="true"/>
    </xf>
    <xf numFmtId="164" fontId="29" fillId="0" borderId="0" xfId="0" applyFont="true" applyBorder="false" applyAlignment="fals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fals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fals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false">
      <alignment horizontal="general" vertical="bottom" textRotation="0" wrapText="false" indent="0" shrinkToFit="false"/>
      <protection locked="true" hidden="false"/>
    </xf>
    <xf numFmtId="164" fontId="28" fillId="6" borderId="69" xfId="0" applyFont="true" applyBorder="true" applyAlignment="true" applyProtection="fals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false" applyProtection="true">
      <alignment horizontal="general" vertical="bottom" textRotation="0" wrapText="false" indent="0" shrinkToFit="false"/>
      <protection locked="true" hidden="true"/>
    </xf>
    <xf numFmtId="172" fontId="0" fillId="0" borderId="0" xfId="0" applyFont="false" applyBorder="false" applyAlignment="fals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8"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8"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false">
      <alignment horizontal="general" vertical="bottom" textRotation="0" wrapText="false" indent="0" shrinkToFit="false"/>
      <protection locked="true" hidden="false"/>
    </xf>
    <xf numFmtId="164" fontId="28" fillId="6" borderId="72" xfId="0" applyFont="true" applyBorder="true" applyAlignment="true" applyProtection="fals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false" applyProtection="true">
      <alignment horizontal="general" vertical="bottom" textRotation="0" wrapText="false" indent="0" shrinkToFit="false"/>
      <protection locked="true" hidden="true"/>
    </xf>
    <xf numFmtId="164" fontId="0" fillId="3" borderId="8" xfId="0" applyFont="false" applyBorder="true" applyAlignment="fals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68" fontId="0" fillId="3" borderId="33" xfId="0" applyFont="false" applyBorder="true" applyAlignment="false" applyProtection="true">
      <alignment horizontal="general" vertical="bottom" textRotation="0" wrapText="false" indent="0" shrinkToFit="false"/>
      <protection locked="true" hidden="true"/>
    </xf>
    <xf numFmtId="168" fontId="0" fillId="3" borderId="13" xfId="0" applyFont="false" applyBorder="true" applyAlignment="false" applyProtection="true">
      <alignment horizontal="general" vertical="bottom" textRotation="0" wrapText="false" indent="0" shrinkToFit="false"/>
      <protection locked="true" hidden="true"/>
    </xf>
    <xf numFmtId="166" fontId="0" fillId="3" borderId="13" xfId="0" applyFont="false" applyBorder="true" applyAlignment="false" applyProtection="true">
      <alignment horizontal="general" vertical="bottom" textRotation="0" wrapText="false" indent="0" shrinkToFit="false"/>
      <protection locked="true" hidden="true"/>
    </xf>
    <xf numFmtId="167" fontId="0" fillId="3" borderId="13" xfId="0" applyFont="false" applyBorder="true" applyAlignment="false" applyProtection="true">
      <alignment horizontal="general" vertical="bottom" textRotation="0" wrapText="false" indent="0" shrinkToFit="false"/>
      <protection locked="true" hidden="true"/>
    </xf>
    <xf numFmtId="172" fontId="0" fillId="3" borderId="13" xfId="0" applyFont="false" applyBorder="true" applyAlignment="false" applyProtection="true">
      <alignment horizontal="general" vertical="bottom" textRotation="0" wrapText="false" indent="0" shrinkToFit="false"/>
      <protection locked="true" hidden="true"/>
    </xf>
    <xf numFmtId="167" fontId="0" fillId="3" borderId="0" xfId="0" applyFont="false" applyBorder="false" applyAlignment="false" applyProtection="true">
      <alignment horizontal="general" vertical="bottom" textRotation="0" wrapText="false" indent="0" shrinkToFit="false"/>
      <protection locked="true" hidden="true"/>
    </xf>
    <xf numFmtId="170" fontId="0" fillId="3" borderId="13" xfId="0" applyFont="false" applyBorder="true" applyAlignment="false" applyProtection="true">
      <alignment horizontal="general" vertical="bottom" textRotation="0" wrapText="false" indent="0" shrinkToFit="false"/>
      <protection locked="true" hidden="true"/>
    </xf>
    <xf numFmtId="172" fontId="0" fillId="3" borderId="26" xfId="0" applyFont="false" applyBorder="true" applyAlignment="false" applyProtection="true">
      <alignment horizontal="general" vertical="bottom" textRotation="0" wrapText="false" indent="0" shrinkToFit="false"/>
      <protection locked="true" hidden="true"/>
    </xf>
    <xf numFmtId="172" fontId="0" fillId="3" borderId="0" xfId="0" applyFont="false" applyBorder="false" applyAlignment="false" applyProtection="true">
      <alignment horizontal="general" vertical="bottom" textRotation="0" wrapText="false" indent="0" shrinkToFit="false"/>
      <protection locked="true" hidden="true"/>
    </xf>
    <xf numFmtId="164" fontId="8" fillId="3" borderId="0" xfId="0" applyFont="true" applyBorder="false" applyAlignment="false" applyProtection="true">
      <alignment horizontal="general" vertical="bottom" textRotation="0" wrapText="false" indent="0" shrinkToFit="false"/>
      <protection locked="true" hidden="true"/>
    </xf>
    <xf numFmtId="167" fontId="8" fillId="3" borderId="13" xfId="0" applyFont="true" applyBorder="true" applyAlignment="fals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2"/>
        <color rgb="FFFF0000"/>
      </font>
    </dxf>
    <dxf>
      <font>
        <name val="Arial"/>
        <charset val="1"/>
        <family val="2"/>
        <color rgb="FFC0C0C0"/>
      </font>
    </dxf>
    <dxf>
      <font>
        <name val="Arial"/>
        <charset val="1"/>
        <family val="2"/>
        <color rgb="FFFF0000"/>
      </font>
    </dxf>
    <dxf>
      <font>
        <name val="Arial"/>
        <charset val="1"/>
        <family val="2"/>
        <b val="0"/>
        <i val="0"/>
        <color rgb="FF339966"/>
      </font>
    </dxf>
    <dxf>
      <font>
        <name val="Arial"/>
        <charset val="1"/>
        <family val="2"/>
        <color rgb="FF808080"/>
      </font>
    </dxf>
    <dxf>
      <font>
        <name val="Arial"/>
        <charset val="1"/>
        <family val="2"/>
        <color rgb="FFFF0000"/>
      </font>
    </dxf>
    <dxf>
      <font>
        <name val="Arial"/>
        <charset val="1"/>
        <family val="2"/>
        <color rgb="FF339966"/>
      </font>
    </dxf>
    <dxf>
      <font>
        <name val="Arial"/>
        <charset val="1"/>
        <family val="2"/>
        <color rgb="FF80808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
      <font>
        <name val="Arial"/>
        <charset val="1"/>
        <family val="2"/>
        <b val="0"/>
        <i val="0"/>
        <color rgb="FF808080"/>
      </font>
    </dxf>
    <dxf>
      <font>
        <name val="Arial"/>
        <charset val="1"/>
        <family val="2"/>
        <b val="1"/>
        <i val="0"/>
      </font>
    </dxf>
  </dxf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externalLink" Target="externalLinks/externalLink1.xml"/><Relationship Id="rId4"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7_Mphyt_NOTE%20IBMR%20REF%20Auvergne%202007.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ALA"/>
      <sheetName val="ADN"/>
      <sheetName val="BEB"/>
      <sheetName val="CHE"/>
      <sheetName val="RCO"/>
      <sheetName val="COC"/>
      <sheetName val="COP"/>
      <sheetName val="DES"/>
      <sheetName val="DOR"/>
      <sheetName val="EPI"/>
      <sheetName val="GAG"/>
      <sheetName val="JOR"/>
      <sheetName val="LIG"/>
      <sheetName val="LOI"/>
      <sheetName val="MAR"/>
      <sheetName val="RHU"/>
      <sheetName val="SBO"/>
      <sheetName val="SEN"/>
      <sheetName val="SIO"/>
      <sheetName val="SUM"/>
      <sheetName val="TAR"/>
      <sheetName val="VOU"/>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B33" activeCellId="0" sqref="B33"/>
    </sheetView>
  </sheetViews>
  <sheetFormatPr defaultColWidth="11.42578125" defaultRowHeight="12.75" zeroHeight="false" outlineLevelRow="0" outlineLevelCol="0"/>
  <cols>
    <col collapsed="false" customWidth="true" hidden="false" outlineLevel="0" max="1" min="1" style="1" width="18.53"/>
    <col collapsed="false" customWidth="true" hidden="false" outlineLevel="0" max="2" min="2" style="1" width="9.67"/>
    <col collapsed="false" customWidth="true" hidden="false" outlineLevel="0" max="3" min="3" style="1" width="9.4"/>
    <col collapsed="false" customWidth="true" hidden="true" outlineLevel="0" max="4" min="4" style="1" width="9.4"/>
    <col collapsed="false" customWidth="true" hidden="true" outlineLevel="0" max="5" min="5" style="1" width="8.97"/>
    <col collapsed="false" customWidth="true" hidden="false" outlineLevel="0" max="6" min="6" style="1" width="7.12"/>
    <col collapsed="false" customWidth="true" hidden="false" outlineLevel="0" max="7" min="7" style="1" width="5.55"/>
    <col collapsed="false" customWidth="true" hidden="true" outlineLevel="0" max="8" min="8" style="1" width="3.12"/>
    <col collapsed="false" customWidth="true" hidden="false" outlineLevel="0" max="9" min="9" style="1" width="3.12"/>
    <col collapsed="false" customWidth="true" hidden="false" outlineLevel="0" max="10" min="10" style="1" width="2.39"/>
    <col collapsed="false" customWidth="true" hidden="false" outlineLevel="0" max="11" min="11" style="1" width="8.97"/>
    <col collapsed="false" customWidth="true" hidden="false" outlineLevel="0" max="12" min="12" style="1" width="6.27"/>
    <col collapsed="false" customWidth="true" hidden="false" outlineLevel="0" max="13" min="13" style="1" width="8.67"/>
    <col collapsed="false" customWidth="true" hidden="false" outlineLevel="0" max="14" min="14" style="1" width="8.83"/>
    <col collapsed="false" customWidth="true" hidden="false" outlineLevel="0" max="15" min="15" style="1" width="8.97"/>
    <col collapsed="false" customWidth="true" hidden="true" outlineLevel="0" max="17" min="16" style="1" width="8.67"/>
    <col collapsed="false" customWidth="true" hidden="true" outlineLevel="0" max="18" min="18" style="1" width="6.96"/>
    <col collapsed="false" customWidth="true" hidden="true" outlineLevel="0" max="19" min="19" style="1" width="4.83"/>
    <col collapsed="false" customWidth="true" hidden="true" outlineLevel="0" max="21" min="20" style="1" width="3.12"/>
    <col collapsed="false" customWidth="true" hidden="false" outlineLevel="0" max="22" min="22" style="1" width="15.11"/>
    <col collapsed="false" customWidth="true" hidden="false" outlineLevel="0" max="23" min="23" style="1" width="15.39"/>
    <col collapsed="false" customWidth="false" hidden="true" outlineLevel="0" max="25" min="24" style="1" width="11.38"/>
    <col collapsed="false" customWidth="true" hidden="false" outlineLevel="0" max="26" min="26" style="1" width="6.27"/>
    <col collapsed="false" customWidth="true" hidden="false" outlineLevel="0" max="27" min="27" style="1" width="36.23"/>
    <col collapsed="false" customWidth="true" hidden="false" outlineLevel="0" max="28" min="28" style="1" width="11.97"/>
    <col collapsed="false" customWidth="false" hidden="false" outlineLevel="0" max="257" min="29" style="1" width="11.38"/>
  </cols>
  <sheetData>
    <row r="1" customFormat="false" ht="15.75"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3.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3.5" hidden="false" customHeight="false" outlineLevel="0" collapsed="false">
      <c r="A4" s="31" t="n">
        <v>39282</v>
      </c>
      <c r="B4" s="32"/>
      <c r="C4" s="33"/>
      <c r="D4" s="34"/>
      <c r="E4" s="34"/>
      <c r="F4" s="33"/>
      <c r="G4" s="33"/>
      <c r="H4" s="34"/>
      <c r="I4" s="35" t="s">
        <v>9</v>
      </c>
      <c r="J4" s="36"/>
      <c r="K4" s="36"/>
      <c r="L4" s="37"/>
      <c r="M4" s="37"/>
      <c r="N4" s="38"/>
      <c r="O4" s="39"/>
      <c r="P4" s="8"/>
      <c r="Q4" s="8"/>
      <c r="R4" s="8"/>
      <c r="S4" s="8"/>
      <c r="T4" s="8"/>
      <c r="U4" s="8"/>
      <c r="V4" s="20"/>
      <c r="W4" s="40"/>
    </row>
    <row r="5" customFormat="false" ht="14.25" hidden="false" customHeight="true" outlineLevel="0" collapsed="false">
      <c r="A5" s="41"/>
      <c r="B5" s="42" t="s">
        <v>10</v>
      </c>
      <c r="C5" s="43" t="s">
        <v>11</v>
      </c>
      <c r="D5" s="44"/>
      <c r="E5" s="44"/>
      <c r="F5" s="45" t="s">
        <v>12</v>
      </c>
      <c r="G5" s="46"/>
      <c r="H5" s="44"/>
      <c r="I5" s="47"/>
      <c r="J5" s="48"/>
      <c r="K5" s="49" t="s">
        <v>13</v>
      </c>
      <c r="L5" s="50" t="n">
        <v>13.5531914893617</v>
      </c>
      <c r="M5" s="51"/>
      <c r="N5" s="52"/>
      <c r="O5" s="53"/>
      <c r="P5" s="8"/>
      <c r="Q5" s="8"/>
      <c r="R5" s="8"/>
      <c r="S5" s="8"/>
      <c r="T5" s="8"/>
      <c r="U5" s="8"/>
      <c r="V5" s="20"/>
      <c r="W5" s="40"/>
    </row>
    <row r="6" customFormat="false" ht="13.5" hidden="false" customHeight="false" outlineLevel="0" collapsed="false">
      <c r="A6" s="54" t="s">
        <v>14</v>
      </c>
      <c r="B6" s="55" t="s">
        <v>15</v>
      </c>
      <c r="C6" s="56" t="s">
        <v>16</v>
      </c>
      <c r="D6" s="44"/>
      <c r="E6" s="44"/>
      <c r="F6" s="45"/>
      <c r="G6" s="46"/>
      <c r="H6" s="44"/>
      <c r="I6" s="57" t="s">
        <v>17</v>
      </c>
      <c r="J6" s="58"/>
      <c r="K6" s="59"/>
      <c r="L6" s="60" t="s">
        <v>18</v>
      </c>
      <c r="M6" s="61"/>
      <c r="N6" s="62"/>
      <c r="O6" s="62"/>
      <c r="P6" s="8"/>
      <c r="Q6" s="8"/>
      <c r="R6" s="8"/>
      <c r="S6" s="8"/>
      <c r="T6" s="8"/>
      <c r="U6" s="8"/>
      <c r="V6" s="20"/>
      <c r="W6" s="21"/>
    </row>
    <row r="7" customFormat="false" ht="12.75" hidden="false" customHeight="false" outlineLevel="0" collapsed="false">
      <c r="A7" s="63" t="s">
        <v>19</v>
      </c>
      <c r="B7" s="64" t="n">
        <v>75</v>
      </c>
      <c r="C7" s="65" t="n">
        <v>25</v>
      </c>
      <c r="D7" s="66"/>
      <c r="E7" s="66"/>
      <c r="F7" s="67" t="n">
        <f aca="false">IF((OR((B7+C7=100),(B7+C7=0))),B7+C7,"ATTENTION")</f>
        <v>100</v>
      </c>
      <c r="G7" s="68"/>
      <c r="H7" s="66"/>
      <c r="I7" s="69"/>
      <c r="J7" s="70"/>
      <c r="K7" s="71"/>
      <c r="L7" s="72"/>
      <c r="M7" s="73"/>
      <c r="N7" s="74" t="s">
        <v>20</v>
      </c>
      <c r="O7" s="75" t="s">
        <v>21</v>
      </c>
      <c r="P7" s="8"/>
      <c r="Q7" s="8"/>
      <c r="R7" s="8"/>
      <c r="S7" s="8"/>
      <c r="T7" s="8"/>
      <c r="U7" s="8"/>
      <c r="V7" s="20"/>
      <c r="W7" s="21"/>
    </row>
    <row r="8" customFormat="false" ht="12.75" hidden="false" customHeight="false" outlineLevel="0" collapsed="false">
      <c r="A8" s="76" t="s">
        <v>22</v>
      </c>
      <c r="B8" s="76"/>
      <c r="C8" s="76"/>
      <c r="D8" s="66"/>
      <c r="E8" s="66"/>
      <c r="F8" s="77" t="s">
        <v>23</v>
      </c>
      <c r="G8" s="78"/>
      <c r="H8" s="79"/>
      <c r="I8" s="69"/>
      <c r="J8" s="70"/>
      <c r="K8" s="71"/>
      <c r="L8" s="72"/>
      <c r="M8" s="80" t="s">
        <v>24</v>
      </c>
      <c r="N8" s="81" t="n">
        <f aca="false">AVERAGE(I23:I82)</f>
        <v>12.85</v>
      </c>
      <c r="O8" s="82" t="n">
        <f aca="false">AVERAGE(J23:J82)</f>
        <v>1.85</v>
      </c>
      <c r="P8" s="8"/>
      <c r="Q8" s="8"/>
      <c r="R8" s="8"/>
      <c r="S8" s="8"/>
      <c r="T8" s="8"/>
      <c r="U8" s="8"/>
      <c r="V8" s="20"/>
      <c r="W8" s="21"/>
    </row>
    <row r="9" customFormat="false" ht="13.5" hidden="false" customHeight="false" outlineLevel="0" collapsed="false">
      <c r="A9" s="83" t="s">
        <v>25</v>
      </c>
      <c r="B9" s="84" t="n">
        <v>7</v>
      </c>
      <c r="C9" s="85" t="n">
        <v>1.5</v>
      </c>
      <c r="D9" s="86"/>
      <c r="E9" s="86"/>
      <c r="F9" s="87" t="n">
        <f aca="false">($B9*$B$7+$C9*$C$7)/100</f>
        <v>5.625</v>
      </c>
      <c r="G9" s="88"/>
      <c r="H9" s="89"/>
      <c r="I9" s="90"/>
      <c r="J9" s="91"/>
      <c r="K9" s="71"/>
      <c r="L9" s="92"/>
      <c r="M9" s="80" t="s">
        <v>26</v>
      </c>
      <c r="N9" s="81" t="n">
        <f aca="false">STDEV(I23:I82)</f>
        <v>3.13343598189457</v>
      </c>
      <c r="O9" s="82" t="n">
        <f aca="false">STDEV(J23:J82)</f>
        <v>0.745159820370595</v>
      </c>
      <c r="P9" s="8"/>
      <c r="Q9" s="8"/>
      <c r="R9" s="8"/>
      <c r="S9" s="8"/>
      <c r="T9" s="8"/>
      <c r="U9" s="8"/>
      <c r="V9" s="93"/>
      <c r="W9" s="94"/>
    </row>
    <row r="10" customFormat="false" ht="13.5" hidden="false" customHeight="false" outlineLevel="0" collapsed="false">
      <c r="A10" s="95" t="s">
        <v>27</v>
      </c>
      <c r="B10" s="96"/>
      <c r="C10" s="97"/>
      <c r="D10" s="98"/>
      <c r="E10" s="98"/>
      <c r="F10" s="87" t="n">
        <f aca="false">($B10*$B$7+$C10*$C$7)/100</f>
        <v>0</v>
      </c>
      <c r="G10" s="88"/>
      <c r="H10" s="99"/>
      <c r="I10" s="100"/>
      <c r="J10" s="101" t="s">
        <v>28</v>
      </c>
      <c r="K10" s="101"/>
      <c r="L10" s="102"/>
      <c r="M10" s="103" t="s">
        <v>29</v>
      </c>
      <c r="N10" s="104" t="n">
        <f aca="false">MIN(I23:I82)</f>
        <v>5</v>
      </c>
      <c r="O10" s="105" t="n">
        <f aca="false">MIN(J23:J82)</f>
        <v>1</v>
      </c>
      <c r="P10" s="8"/>
      <c r="Q10" s="8"/>
      <c r="R10" s="8"/>
      <c r="S10" s="8"/>
      <c r="T10" s="8"/>
      <c r="U10" s="8"/>
    </row>
    <row r="11" customFormat="false" ht="12.75" hidden="false" customHeight="false" outlineLevel="0" collapsed="false">
      <c r="A11" s="106" t="s">
        <v>30</v>
      </c>
      <c r="B11" s="107"/>
      <c r="C11" s="108"/>
      <c r="D11" s="109"/>
      <c r="E11" s="109"/>
      <c r="F11" s="110" t="n">
        <f aca="false">($B11*$B$7+$C11*$C$7)/100</f>
        <v>0</v>
      </c>
      <c r="G11" s="111"/>
      <c r="H11" s="66"/>
      <c r="I11" s="112" t="s">
        <v>31</v>
      </c>
      <c r="J11" s="112"/>
      <c r="K11" s="113" t="n">
        <f aca="false">COUNTIF($G$23:$G$82,"=HET")</f>
        <v>0</v>
      </c>
      <c r="L11" s="114"/>
      <c r="M11" s="103" t="s">
        <v>32</v>
      </c>
      <c r="N11" s="104" t="n">
        <f aca="false">MAX(I23:I82)</f>
        <v>19</v>
      </c>
      <c r="O11" s="105" t="n">
        <f aca="false">MAX(J23:J82)</f>
        <v>3</v>
      </c>
      <c r="P11" s="8"/>
      <c r="Q11" s="8"/>
      <c r="R11" s="8"/>
      <c r="S11" s="8"/>
      <c r="T11" s="8"/>
      <c r="U11" s="8"/>
    </row>
    <row r="12" customFormat="false" ht="12.75" hidden="false" customHeight="false" outlineLevel="0" collapsed="false">
      <c r="A12" s="115" t="s">
        <v>33</v>
      </c>
      <c r="B12" s="116" t="n">
        <v>0.15</v>
      </c>
      <c r="C12" s="117"/>
      <c r="D12" s="109"/>
      <c r="E12" s="109"/>
      <c r="F12" s="110" t="n">
        <f aca="false">($B12*$B$7+$C12*$C$7)/100</f>
        <v>0.1125</v>
      </c>
      <c r="G12" s="118"/>
      <c r="H12" s="66"/>
      <c r="I12" s="119" t="s">
        <v>34</v>
      </c>
      <c r="J12" s="119"/>
      <c r="K12" s="113" t="n">
        <f aca="false">COUNTIF($G$23:$G$82,"=ALG")</f>
        <v>3</v>
      </c>
      <c r="L12" s="120"/>
      <c r="M12" s="121"/>
      <c r="N12" s="122" t="s">
        <v>28</v>
      </c>
      <c r="O12" s="123"/>
      <c r="P12" s="8"/>
      <c r="Q12" s="8"/>
      <c r="R12" s="8"/>
      <c r="S12" s="8"/>
      <c r="T12" s="8"/>
      <c r="U12" s="8"/>
    </row>
    <row r="13" customFormat="false" ht="12.75" hidden="false" customHeight="false" outlineLevel="0" collapsed="false">
      <c r="A13" s="115" t="s">
        <v>35</v>
      </c>
      <c r="B13" s="116" t="n">
        <v>3.5</v>
      </c>
      <c r="C13" s="117" t="n">
        <v>0.5</v>
      </c>
      <c r="D13" s="109"/>
      <c r="E13" s="109"/>
      <c r="F13" s="110" t="n">
        <f aca="false">($B13*$B$7+$C13*$C$7)/100</f>
        <v>2.75</v>
      </c>
      <c r="G13" s="118"/>
      <c r="H13" s="66"/>
      <c r="I13" s="119" t="s">
        <v>36</v>
      </c>
      <c r="J13" s="119"/>
      <c r="K13" s="113" t="n">
        <f aca="false">COUNTIF($G$23:$G$82,"=BRm")+COUNTIF($G$23:$G$82,"=BRh")</f>
        <v>9</v>
      </c>
      <c r="L13" s="114"/>
      <c r="M13" s="124" t="s">
        <v>37</v>
      </c>
      <c r="N13" s="125" t="n">
        <f aca="false">COUNTIF(F23:F82,"&gt;0")</f>
        <v>26</v>
      </c>
      <c r="O13" s="126"/>
      <c r="P13" s="8"/>
      <c r="Q13" s="8"/>
      <c r="R13" s="8"/>
      <c r="S13" s="8"/>
      <c r="T13" s="8"/>
      <c r="U13" s="8"/>
    </row>
    <row r="14" customFormat="false" ht="12.75" hidden="false" customHeight="false" outlineLevel="0" collapsed="false">
      <c r="A14" s="115" t="s">
        <v>38</v>
      </c>
      <c r="B14" s="116" t="n">
        <v>0.02</v>
      </c>
      <c r="C14" s="117"/>
      <c r="D14" s="109"/>
      <c r="E14" s="109"/>
      <c r="F14" s="110" t="n">
        <f aca="false">($B14*$B$7+$C14*$C$7)/100</f>
        <v>0.015</v>
      </c>
      <c r="G14" s="118"/>
      <c r="H14" s="66"/>
      <c r="I14" s="119" t="s">
        <v>39</v>
      </c>
      <c r="J14" s="119"/>
      <c r="K14" s="113" t="n">
        <f aca="false">COUNTIF($G$23:$G$82,"=PTE")</f>
        <v>0</v>
      </c>
      <c r="L14" s="114"/>
      <c r="M14" s="127" t="s">
        <v>40</v>
      </c>
      <c r="N14" s="128" t="n">
        <f aca="false">COUNTIF($I$23:$I$82,"&gt;-1")</f>
        <v>20</v>
      </c>
      <c r="O14" s="129"/>
      <c r="P14" s="8"/>
      <c r="Q14" s="8"/>
      <c r="R14" s="8"/>
      <c r="S14" s="8"/>
      <c r="T14" s="8"/>
      <c r="U14" s="8"/>
    </row>
    <row r="15" customFormat="false" ht="12.75" hidden="false" customHeight="false" outlineLevel="0" collapsed="false">
      <c r="A15" s="130" t="s">
        <v>41</v>
      </c>
      <c r="B15" s="131" t="n">
        <v>3.4</v>
      </c>
      <c r="C15" s="132" t="n">
        <v>1</v>
      </c>
      <c r="D15" s="109"/>
      <c r="E15" s="109"/>
      <c r="F15" s="110" t="n">
        <f aca="false">($B15*$B$7+$C15*$C$7)/100</f>
        <v>2.8</v>
      </c>
      <c r="G15" s="118"/>
      <c r="H15" s="66"/>
      <c r="I15" s="119" t="s">
        <v>42</v>
      </c>
      <c r="J15" s="119"/>
      <c r="K15" s="113" t="n">
        <f aca="false">(COUNTIF($G$23:$G$82,"=PHy"))+(COUNTIF($G$23:$G$82,"=PHe"))+(COUNTIF($G$23:$G$82,"=PHg"))+(COUNTIF($G$23:$G$82,"=PHx"))</f>
        <v>12</v>
      </c>
      <c r="L15" s="114"/>
      <c r="M15" s="133" t="s">
        <v>43</v>
      </c>
      <c r="N15" s="134" t="n">
        <f aca="false">COUNTIF(J23:J82,"=1")</f>
        <v>7</v>
      </c>
      <c r="O15" s="135"/>
      <c r="P15" s="8"/>
      <c r="Q15" s="8"/>
      <c r="R15" s="8"/>
      <c r="S15" s="8"/>
      <c r="T15" s="8"/>
      <c r="U15" s="8"/>
    </row>
    <row r="16" customFormat="false" ht="12.75" hidden="false" customHeight="false" outlineLevel="0" collapsed="false">
      <c r="A16" s="106" t="s">
        <v>44</v>
      </c>
      <c r="B16" s="107"/>
      <c r="C16" s="108"/>
      <c r="D16" s="136"/>
      <c r="E16" s="136"/>
      <c r="F16" s="137"/>
      <c r="G16" s="137" t="n">
        <f aca="false">($B16*$B$7+$C16*$C$7)/100</f>
        <v>0</v>
      </c>
      <c r="H16" s="66"/>
      <c r="I16" s="119"/>
      <c r="J16" s="138"/>
      <c r="K16" s="138"/>
      <c r="L16" s="114"/>
      <c r="M16" s="133" t="s">
        <v>45</v>
      </c>
      <c r="N16" s="134" t="n">
        <f aca="false">COUNTIF(J23:J82,"=2")</f>
        <v>9</v>
      </c>
      <c r="O16" s="135"/>
      <c r="P16" s="8"/>
      <c r="Q16" s="8"/>
      <c r="R16" s="8"/>
      <c r="S16" s="8"/>
      <c r="T16" s="8"/>
      <c r="U16" s="8"/>
    </row>
    <row r="17" customFormat="false" ht="12.75" hidden="false" customHeight="false" outlineLevel="0" collapsed="false">
      <c r="A17" s="115" t="s">
        <v>46</v>
      </c>
      <c r="B17" s="116" t="n">
        <v>7</v>
      </c>
      <c r="C17" s="117" t="n">
        <v>1.1</v>
      </c>
      <c r="D17" s="109"/>
      <c r="E17" s="109"/>
      <c r="F17" s="139"/>
      <c r="G17" s="110" t="n">
        <f aca="false">($B17*$B$7+$C17*$C$7)/100</f>
        <v>5.525</v>
      </c>
      <c r="H17" s="66"/>
      <c r="I17" s="119"/>
      <c r="J17" s="119"/>
      <c r="K17" s="138"/>
      <c r="L17" s="114"/>
      <c r="M17" s="133" t="s">
        <v>47</v>
      </c>
      <c r="N17" s="134" t="n">
        <f aca="false">COUNTIF(J23:J82,"=3")</f>
        <v>4</v>
      </c>
      <c r="O17" s="135"/>
      <c r="P17" s="8"/>
      <c r="Q17" s="8"/>
      <c r="R17" s="8"/>
      <c r="S17" s="8"/>
      <c r="T17" s="8"/>
      <c r="U17" s="8"/>
    </row>
    <row r="18" customFormat="false" ht="12.75" hidden="false" customHeight="false" outlineLevel="0" collapsed="false">
      <c r="A18" s="140" t="s">
        <v>48</v>
      </c>
      <c r="B18" s="141" t="n">
        <v>0.1</v>
      </c>
      <c r="C18" s="142" t="n">
        <v>0.35</v>
      </c>
      <c r="D18" s="109"/>
      <c r="E18" s="143" t="s">
        <v>49</v>
      </c>
      <c r="F18" s="139"/>
      <c r="G18" s="110" t="n">
        <f aca="false">($B18*$B$7+$C18*$C$7)/100</f>
        <v>0.1625</v>
      </c>
      <c r="H18" s="66"/>
      <c r="I18" s="119"/>
      <c r="J18" s="119"/>
      <c r="K18" s="138"/>
      <c r="L18" s="114"/>
      <c r="M18" s="144"/>
      <c r="N18" s="144"/>
      <c r="O18" s="135"/>
      <c r="P18" s="8"/>
      <c r="Q18" s="8"/>
      <c r="R18" s="8"/>
      <c r="S18" s="8"/>
      <c r="T18" s="8"/>
      <c r="U18" s="8"/>
      <c r="V18" s="145" t="s">
        <v>50</v>
      </c>
    </row>
    <row r="19" customFormat="false" ht="13.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ATTENTION : le total par grp. floristiques doit être égal</v>
      </c>
      <c r="E19" s="150" t="str">
        <f aca="false">IF(G19=F19,"","au total par grp. Fonctionnels !")</f>
        <v>au total par grp. Fonctionnels !</v>
      </c>
      <c r="F19" s="151" t="n">
        <f aca="false">SUM(F11:F15)</f>
        <v>5.6775</v>
      </c>
      <c r="G19" s="151" t="n">
        <f aca="false">SUM(G16:G18)</f>
        <v>5.6875</v>
      </c>
      <c r="H19" s="152"/>
      <c r="I19" s="153"/>
      <c r="J19" s="154"/>
      <c r="K19" s="155"/>
      <c r="L19" s="156"/>
      <c r="M19" s="157"/>
      <c r="N19" s="59"/>
      <c r="O19" s="158"/>
      <c r="P19" s="8"/>
      <c r="Q19" s="8"/>
      <c r="R19" s="8"/>
      <c r="S19" s="8"/>
      <c r="T19" s="8"/>
      <c r="U19" s="8"/>
      <c r="V19" s="145" t="s">
        <v>51</v>
      </c>
    </row>
    <row r="20" customFormat="false" ht="12.75" hidden="false" customHeight="false" outlineLevel="0" collapsed="false">
      <c r="A20" s="83" t="s">
        <v>52</v>
      </c>
      <c r="B20" s="159" t="n">
        <f aca="false">SUM(B23:B82)</f>
        <v>7.1</v>
      </c>
      <c r="C20" s="160" t="n">
        <f aca="false">SUM(C23:C82)</f>
        <v>1.52</v>
      </c>
      <c r="D20" s="161"/>
      <c r="E20" s="162" t="s">
        <v>49</v>
      </c>
      <c r="F20" s="163" t="n">
        <f aca="false">($B20*$B$7+$C20*$C$7)/100</f>
        <v>5.705</v>
      </c>
      <c r="G20" s="164"/>
      <c r="H20" s="165"/>
      <c r="I20" s="166"/>
      <c r="J20" s="166"/>
      <c r="K20" s="167"/>
      <c r="L20" s="45"/>
      <c r="M20" s="168"/>
      <c r="N20" s="168"/>
      <c r="O20" s="169"/>
      <c r="P20" s="170" t="s">
        <v>53</v>
      </c>
      <c r="Q20" s="8"/>
      <c r="R20" s="8"/>
      <c r="S20" s="8"/>
      <c r="T20" s="8"/>
      <c r="U20" s="8"/>
      <c r="V20" s="145"/>
    </row>
    <row r="21" customFormat="false" ht="12.75" hidden="false" customHeight="false" outlineLevel="0" collapsed="false">
      <c r="A21" s="171" t="s">
        <v>54</v>
      </c>
      <c r="B21" s="172" t="n">
        <f aca="false">B20*B7/100</f>
        <v>5.325</v>
      </c>
      <c r="C21" s="172" t="n">
        <f aca="false">C20*C7/100</f>
        <v>0.38</v>
      </c>
      <c r="D21" s="109" t="str">
        <f aca="false">IF(F21=0,"",IF((ABS(F21-F19))&gt;(0.2*F21),CONCATENATE(" rec. par taxa (",F21," %) supérieur à 20 % !"),""))</f>
        <v/>
      </c>
      <c r="E21" s="173" t="str">
        <f aca="false">IF(F21=0,"",IF((ABS(F21-F19))&gt;(0.2*F21),CONCATENATE("ATTENTION : écart entre rec. par grp (",F19," %) ","et",""),""))</f>
        <v/>
      </c>
      <c r="F21" s="174" t="n">
        <f aca="false">B21+C21</f>
        <v>5.705</v>
      </c>
      <c r="G21" s="175"/>
      <c r="H21" s="109"/>
      <c r="I21" s="176"/>
      <c r="J21" s="176"/>
      <c r="K21" s="177"/>
      <c r="L21" s="177"/>
      <c r="M21" s="178"/>
      <c r="N21" s="178"/>
      <c r="O21" s="179"/>
      <c r="P21" s="180" t="s">
        <v>55</v>
      </c>
      <c r="Q21" s="8"/>
      <c r="R21" s="8"/>
      <c r="S21" s="8"/>
      <c r="T21" s="8"/>
      <c r="U21" s="8"/>
      <c r="V21" s="145"/>
    </row>
    <row r="22" customFormat="false" ht="12.75" hidden="false" customHeight="false" outlineLevel="0" collapsed="false">
      <c r="A22" s="181" t="s">
        <v>56</v>
      </c>
      <c r="B22" s="182" t="s">
        <v>57</v>
      </c>
      <c r="C22" s="183" t="s">
        <v>57</v>
      </c>
      <c r="D22" s="136"/>
      <c r="E22" s="136"/>
      <c r="F22" s="184" t="s">
        <v>58</v>
      </c>
      <c r="G22" s="185" t="s">
        <v>59</v>
      </c>
      <c r="H22" s="136"/>
      <c r="I22" s="186" t="s">
        <v>60</v>
      </c>
      <c r="J22" s="186" t="s">
        <v>61</v>
      </c>
      <c r="K22" s="187" t="s">
        <v>62</v>
      </c>
      <c r="L22" s="187"/>
      <c r="M22" s="187"/>
      <c r="N22" s="187"/>
      <c r="O22" s="187"/>
      <c r="P22" s="188" t="s">
        <v>63</v>
      </c>
      <c r="Q22" s="189" t="s">
        <v>64</v>
      </c>
      <c r="R22" s="190" t="s">
        <v>65</v>
      </c>
      <c r="S22" s="191" t="s">
        <v>66</v>
      </c>
      <c r="T22" s="192" t="s">
        <v>67</v>
      </c>
      <c r="U22" s="190" t="s">
        <v>68</v>
      </c>
      <c r="X22" s="8" t="s">
        <v>69</v>
      </c>
      <c r="Y22" s="8" t="s">
        <v>70</v>
      </c>
      <c r="Z22" s="193" t="s">
        <v>71</v>
      </c>
      <c r="AA22" s="193" t="s">
        <v>72</v>
      </c>
    </row>
    <row r="23" customFormat="false" ht="12.75" hidden="false" customHeight="false" outlineLevel="0" collapsed="false">
      <c r="A23" s="194" t="s">
        <v>73</v>
      </c>
      <c r="B23" s="195" t="n">
        <v>0.02</v>
      </c>
      <c r="C23" s="196"/>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0.015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0.015</v>
      </c>
      <c r="Q23" s="207" t="n">
        <f aca="false">IF(OR(ISTEXT(H23),P23=0),"",IF(P23&lt;0.1,1,IF(P23&lt;1,2,IF(P23&lt;10,3,IF(P23&lt;50,4,IF(P23&gt;=50,5,""))))))</f>
        <v>1</v>
      </c>
      <c r="R23" s="207" t="n">
        <f aca="false">IF(ISERROR(Q23*I23),0,Q23*I23)</f>
        <v>13</v>
      </c>
      <c r="S23" s="207" t="n">
        <f aca="false">IF(ISERROR(Q23*I23*J23),0,Q23*I23*J23)</f>
        <v>26</v>
      </c>
      <c r="T23" s="207" t="n">
        <f aca="false">IF(ISERROR(Q23*J23),0,Q23*J23)</f>
        <v>2</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75" hidden="false" customHeight="false" outlineLevel="0" collapsed="false">
      <c r="A24" s="212" t="s">
        <v>74</v>
      </c>
      <c r="B24" s="213" t="n">
        <v>0.1</v>
      </c>
      <c r="C24" s="214"/>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0.075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0.075</v>
      </c>
      <c r="Q24" s="207" t="n">
        <f aca="false">IF(OR(ISTEXT(H24),P24=0),"",IF(P24&lt;0.1,1,IF(P24&lt;1,2,IF(P24&lt;10,3,IF(P24&lt;50,4,IF(P24&gt;=50,5,""))))))</f>
        <v>1</v>
      </c>
      <c r="R24" s="207" t="n">
        <f aca="false">IF(ISERROR(Q24*I24),0,Q24*I24)</f>
        <v>15</v>
      </c>
      <c r="S24" s="207" t="n">
        <f aca="false">IF(ISERROR(Q24*I24*J24),0,Q24*I24*J24)</f>
        <v>30</v>
      </c>
      <c r="T24" s="221" t="n">
        <f aca="false">IF(ISERROR(Q24*J24),0,Q24*J24)</f>
        <v>2</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75" hidden="false" customHeight="false" outlineLevel="0" collapsed="false">
      <c r="A25" s="212" t="s">
        <v>75</v>
      </c>
      <c r="B25" s="213" t="n">
        <v>0.03</v>
      </c>
      <c r="C25" s="214"/>
      <c r="D25" s="215" t="str">
        <f aca="false">IF(ISERROR(VLOOKUP($A25,'[1]liste reference'!$A$7:$D$906,2,0)),IF(ISERROR(VLOOKUP($A25,'[1]liste reference'!$B$7:$D$906,1,0)),"",VLOOKUP($A25,'[1]liste reference'!$B$7:$D$906,1,0)),VLOOKUP($A25,'[1]liste reference'!$A$7:$D$906,2,0))</f>
        <v>Oscillatoria sp.</v>
      </c>
      <c r="E25" s="215" t="e">
        <f aca="false">IF(D25="",0,VLOOKUP(D25,D$22:D24,1,0))</f>
        <v>#N/A</v>
      </c>
      <c r="F25" s="216" t="n">
        <f aca="false">($B25*$B$7+$C25*$C$7)/100</f>
        <v>0.0225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11</v>
      </c>
      <c r="J25" s="202" t="n">
        <f aca="false">IF(ISNUMBER(H25),IF(ISERROR(VLOOKUP($A25,'[1]liste reference'!$A$7:$P$906,4,0)),IF(ISERROR(VLOOKUP($A25,'[1]liste reference'!$B$7:$P$906,3,0)),"",VLOOKUP($A25,'[1]liste reference'!$B$7:$P$906,3,0)),VLOOKUP($A25,'[1]liste reference'!$A$7:$P$906,4,0)),"")</f>
        <v>1</v>
      </c>
      <c r="K25" s="219" t="str">
        <f aca="false">IF(A25="NEW.COD",AA25,IF(ISTEXT($E25),"DEJA SAISI !",IF(A25="","",IF(ISERROR(VLOOKUP($A25,'[1]liste reference'!$A$7:$D$906,2,0)),IF(ISERROR(VLOOKUP($A25,'[1]liste reference'!$B$7:$D$906,1,0)),"code non répertorié ou synonyme",VLOOKUP($A25,'[1]liste reference'!$B$7:$D$906,1,0)),VLOOKUP(A25,'[1]liste reference'!$A$7:$D$906,2,0)))))</f>
        <v>Oscillatoria sp.</v>
      </c>
      <c r="L25" s="220"/>
      <c r="M25" s="220"/>
      <c r="N25" s="220"/>
      <c r="O25" s="205"/>
      <c r="P25" s="206" t="n">
        <f aca="false">IF(ISTEXT(H25),"",(B25*$B$7/100)+(C25*$C$7/100))</f>
        <v>0.0225</v>
      </c>
      <c r="Q25" s="207" t="n">
        <f aca="false">IF(OR(ISTEXT(H25),P25=0),"",IF(P25&lt;0.1,1,IF(P25&lt;1,2,IF(P25&lt;10,3,IF(P25&lt;50,4,IF(P25&gt;=50,5,""))))))</f>
        <v>1</v>
      </c>
      <c r="R25" s="207" t="n">
        <f aca="false">IF(ISERROR(Q25*I25),0,Q25*I25)</f>
        <v>11</v>
      </c>
      <c r="S25" s="207" t="n">
        <f aca="false">IF(ISERROR(Q25*I25*J25),0,Q25*I25*J25)</f>
        <v>11</v>
      </c>
      <c r="T25" s="221" t="n">
        <f aca="false">IF(ISERROR(Q25*J25),0,Q25*J25)</f>
        <v>1</v>
      </c>
      <c r="U25" s="208" t="str">
        <f aca="false">IF(AND(A25="",F25=0),"",IF(F25=0,"Il manque le(s) % de rec. !",""))</f>
        <v/>
      </c>
      <c r="V25" s="209"/>
      <c r="X25" s="207" t="str">
        <f aca="false">IF(A25="new.cod","NEW.COD",IF(AND((Y25=""),ISTEXT(A25)),A25,IF(Y25="","",INDEX('[1]liste reference'!$A$7:$A$906,Y25))))</f>
        <v>OSC.SPX</v>
      </c>
      <c r="Y25" s="8" t="n">
        <f aca="false">IF(ISERROR(MATCH(A25,'[1]liste reference'!$A$7:$A$906,0)),IF(ISERROR(MATCH(A25,'[1]liste reference'!$B$7:$B$906,0)),"",(MATCH(A25,'[1]liste reference'!$B$7:$B$906,0))),(MATCH(A25,'[1]liste reference'!$A$7:$A$906,0)))</f>
        <v>57</v>
      </c>
      <c r="Z25" s="210"/>
      <c r="AA25" s="211"/>
      <c r="BB25" s="8" t="n">
        <f aca="false">IF(A25="","",1)</f>
        <v>1</v>
      </c>
    </row>
    <row r="26" customFormat="false" ht="12.75" hidden="false" customHeight="false" outlineLevel="0" collapsed="false">
      <c r="A26" s="212"/>
      <c r="B26" s="213"/>
      <c r="C26" s="214"/>
      <c r="D26" s="215" t="str">
        <f aca="false">IF(ISERROR(VLOOKUP($A26,'[1]liste reference'!$A$7:$D$906,2,0)),IF(ISERROR(VLOOKUP($A26,'[1]liste reference'!$B$7:$D$906,1,0)),"",VLOOKUP($A26,'[1]liste reference'!$B$7:$D$906,1,0)),VLOOKUP($A26,'[1]liste reference'!$A$7:$D$906,2,0))</f>
        <v/>
      </c>
      <c r="E26" s="215" t="n">
        <f aca="false">IF(D26="",0,VLOOKUP(D26,D$22:D25,1,0))</f>
        <v>0</v>
      </c>
      <c r="F26" s="216" t="n">
        <f aca="false">($B26*$B$7+$C26*$C$7)/100</f>
        <v>0</v>
      </c>
      <c r="G26" s="217" t="str">
        <f aca="false">IF(A26="","",IF(ISERROR(VLOOKUP($A26,'[1]liste reference'!$A$7:$P$906,13,0)),IF(ISERROR(VLOOKUP($A26,'[1]liste reference'!$B$7:$P$906,12,0)),"    -",VLOOKUP($A26,'[1]liste reference'!$B$7:$P$906,12,0)),VLOOKUP($A26,'[1]liste reference'!$A$7:$P$906,13,0)))</f>
        <v/>
      </c>
      <c r="H26" s="200" t="str">
        <f aca="false">IF(A26="","x",IF(ISERROR(VLOOKUP($A26,'[1]liste reference'!$A$7:$P$906,14,0)),IF(ISERROR(VLOOKUP($A26,'[1]liste reference'!$B$7:$P$906,13,0)),"x",VLOOKUP($A26,'[1]liste reference'!$B$7:$P$906,13,0)),VLOOKUP($A26,'[1]liste reference'!$A$7:$P$906,14,0)))</f>
        <v>x</v>
      </c>
      <c r="I26" s="218" t="str">
        <f aca="false">IF(ISNUMBER(H26),IF(ISERROR(VLOOKUP($A26,'[1]liste reference'!$A$7:$P$906,3,0)),IF(ISERROR(VLOOKUP($A26,'[1]liste reference'!$B$7:$P$906,2,0)),"",VLOOKUP($A26,'[1]liste reference'!$B$7:$P$906,2,0)),VLOOKUP($A26,'[1]liste reference'!$A$7:$P$906,3,0)),"")</f>
        <v/>
      </c>
      <c r="J26" s="202" t="str">
        <f aca="false">IF(ISNUMBER(H26),IF(ISERROR(VLOOKUP($A26,'[1]liste reference'!$A$7:$P$906,4,0)),IF(ISERROR(VLOOKUP($A26,'[1]liste reference'!$B$7:$P$906,3,0)),"",VLOOKUP($A26,'[1]liste reference'!$B$7:$P$906,3,0)),VLOOKUP($A26,'[1]liste reference'!$A$7:$P$906,4,0)),"")</f>
        <v/>
      </c>
      <c r="K26" s="219" t="str">
        <f aca="false">IF(A26="NEW.COD",AA26,IF(ISTEXT($E26),"DEJA SAISI !",IF(A26="","",IF(ISERROR(VLOOKUP($A26,'[1]liste reference'!$A$7:$D$906,2,0)),IF(ISERROR(VLOOKUP($A26,'[1]liste reference'!$B$7:$D$906,1,0)),"code non répertorié ou synonyme",VLOOKUP($A26,'[1]liste reference'!$B$7:$D$906,1,0)),VLOOKUP(A26,'[1]liste reference'!$A$7:$D$906,2,0)))))</f>
        <v/>
      </c>
      <c r="L26" s="220"/>
      <c r="M26" s="220"/>
      <c r="N26" s="220"/>
      <c r="O26" s="205"/>
      <c r="P26" s="206" t="str">
        <f aca="false">IF(ISTEXT(H26),"",(B26*$B$7/100)+(C26*$C$7/100))</f>
        <v/>
      </c>
      <c r="Q26" s="207" t="str">
        <f aca="false">IF(OR(ISTEXT(H26),P26=0),"",IF(P26&lt;0.1,1,IF(P26&lt;1,2,IF(P26&lt;10,3,IF(P26&lt;50,4,IF(P26&gt;=50,5,""))))))</f>
        <v/>
      </c>
      <c r="R26" s="207" t="n">
        <f aca="false">IF(ISERROR(Q26*I26),0,Q26*I26)</f>
        <v>0</v>
      </c>
      <c r="S26" s="207" t="n">
        <f aca="false">IF(ISERROR(Q26*I26*J26),0,Q26*I26*J26)</f>
        <v>0</v>
      </c>
      <c r="T26" s="221" t="n">
        <f aca="false">IF(ISERROR(Q26*J26),0,Q26*J26)</f>
        <v>0</v>
      </c>
      <c r="U26" s="208" t="str">
        <f aca="false">IF(AND(A26="",F26=0),"",IF(F26=0,"Il manque le(s) % de rec. !",""))</f>
        <v/>
      </c>
      <c r="V26" s="209"/>
      <c r="X26" s="207" t="str">
        <f aca="false">IF(A26="new.cod","NEW.COD",IF(AND((Y26=""),ISTEXT(A26)),A26,IF(Y26="","",INDEX('[1]liste reference'!$A$7:$A$906,Y26))))</f>
        <v/>
      </c>
      <c r="Y26" s="8" t="str">
        <f aca="false">IF(ISERROR(MATCH(A26,'[1]liste reference'!$A$7:$A$906,0)),IF(ISERROR(MATCH(A26,'[1]liste reference'!$B$7:$B$906,0)),"",(MATCH(A26,'[1]liste reference'!$B$7:$B$906,0))),(MATCH(A26,'[1]liste reference'!$A$7:$A$906,0)))</f>
        <v/>
      </c>
      <c r="Z26" s="210"/>
      <c r="AA26" s="211"/>
      <c r="BB26" s="8" t="str">
        <f aca="false">IF(A26="","",1)</f>
        <v/>
      </c>
    </row>
    <row r="27" customFormat="false" ht="12.75" hidden="false" customHeight="false" outlineLevel="0" collapsed="false">
      <c r="A27" s="212" t="s">
        <v>76</v>
      </c>
      <c r="B27" s="213" t="n">
        <v>0.02</v>
      </c>
      <c r="C27" s="214"/>
      <c r="D27" s="215" t="str">
        <f aca="false">IF(ISERROR(VLOOKUP($A27,'[1]liste reference'!$A$7:$D$906,2,0)),IF(ISERROR(VLOOKUP($A27,'[1]liste reference'!$B$7:$D$906,1,0)),"",VLOOKUP($A27,'[1]liste reference'!$B$7:$D$906,1,0)),VLOOKUP($A27,'[1]liste reference'!$A$7:$D$906,2,0))</f>
        <v>Dermatocarpon weberi</v>
      </c>
      <c r="E27" s="215" t="e">
        <f aca="false">IF(D27="",0,VLOOKUP(D27,D$22:D26,1,0))</f>
        <v>#N/A</v>
      </c>
      <c r="F27" s="216" t="n">
        <f aca="false">($B27*$B$7+$C27*$C$7)/100</f>
        <v>0.015</v>
      </c>
      <c r="G27" s="217" t="str">
        <f aca="false">IF(A27="","",IF(ISERROR(VLOOKUP($A27,'[1]liste reference'!$A$7:$P$906,13,0)),IF(ISERROR(VLOOKUP($A27,'[1]liste reference'!$B$7:$P$906,12,0)),"    -",VLOOKUP($A27,'[1]liste reference'!$B$7:$P$906,12,0)),VLOOKUP($A27,'[1]liste reference'!$A$7:$P$906,13,0)))</f>
        <v>LIC</v>
      </c>
      <c r="H27" s="200" t="n">
        <f aca="false">IF(A27="","x",IF(ISERROR(VLOOKUP($A27,'[1]liste reference'!$A$7:$P$906,14,0)),IF(ISERROR(VLOOKUP($A27,'[1]liste reference'!$B$7:$P$906,13,0)),"x",VLOOKUP($A27,'[1]liste reference'!$B$7:$P$906,13,0)),VLOOKUP($A27,'[1]liste reference'!$A$7:$P$906,14,0)))</f>
        <v>3</v>
      </c>
      <c r="I27" s="218" t="n">
        <f aca="false">IF(ISNUMBER(H27),IF(ISERROR(VLOOKUP($A27,'[1]liste reference'!$A$7:$P$906,3,0)),IF(ISERROR(VLOOKUP($A27,'[1]liste reference'!$B$7:$P$906,2,0)),"",VLOOKUP($A27,'[1]liste reference'!$B$7:$P$906,2,0)),VLOOKUP($A27,'[1]liste reference'!$A$7:$P$906,3,0)),"")</f>
        <v>16</v>
      </c>
      <c r="J27" s="202" t="n">
        <f aca="false">IF(ISNUMBER(H27),IF(ISERROR(VLOOKUP($A27,'[1]liste reference'!$A$7:$P$906,4,0)),IF(ISERROR(VLOOKUP($A27,'[1]liste reference'!$B$7:$P$906,3,0)),"",VLOOKUP($A27,'[1]liste reference'!$B$7:$P$906,3,0)),VLOOKUP($A27,'[1]liste reference'!$A$7:$P$906,4,0)),"")</f>
        <v>3</v>
      </c>
      <c r="K27" s="219" t="str">
        <f aca="false">IF(A27="NEW.COD",AA27,IF(ISTEXT($E27),"DEJA SAISI !",IF(A27="","",IF(ISERROR(VLOOKUP($A27,'[1]liste reference'!$A$7:$D$906,2,0)),IF(ISERROR(VLOOKUP($A27,'[1]liste reference'!$B$7:$D$906,1,0)),"code non répertorié ou synonyme",VLOOKUP($A27,'[1]liste reference'!$B$7:$D$906,1,0)),VLOOKUP(A27,'[1]liste reference'!$A$7:$D$906,2,0)))))</f>
        <v>Dermatocarpon weberi</v>
      </c>
      <c r="L27" s="220"/>
      <c r="M27" s="220"/>
      <c r="N27" s="220"/>
      <c r="O27" s="205"/>
      <c r="P27" s="206" t="n">
        <f aca="false">IF(ISTEXT(H27),"",(B27*$B$7/100)+(C27*$C$7/100))</f>
        <v>0.015</v>
      </c>
      <c r="Q27" s="207" t="n">
        <f aca="false">IF(OR(ISTEXT(H27),P27=0),"",IF(P27&lt;0.1,1,IF(P27&lt;1,2,IF(P27&lt;10,3,IF(P27&lt;50,4,IF(P27&gt;=50,5,""))))))</f>
        <v>1</v>
      </c>
      <c r="R27" s="207" t="n">
        <f aca="false">IF(ISERROR(Q27*I27),0,Q27*I27)</f>
        <v>16</v>
      </c>
      <c r="S27" s="207" t="n">
        <f aca="false">IF(ISERROR(Q27*I27*J27),0,Q27*I27*J27)</f>
        <v>48</v>
      </c>
      <c r="T27" s="221" t="n">
        <f aca="false">IF(ISERROR(Q27*J27),0,Q27*J27)</f>
        <v>3</v>
      </c>
      <c r="U27" s="208" t="str">
        <f aca="false">IF(AND(A27="",F27=0),"",IF(F27=0,"Il manque le(s) % de rec. !",""))</f>
        <v/>
      </c>
      <c r="V27" s="209"/>
      <c r="X27" s="207" t="str">
        <f aca="false">IF(A27="new.cod","NEW.COD",IF(AND((Y27=""),ISTEXT(A27)),A27,IF(Y27="","",INDEX('[1]liste reference'!$A$7:$A$906,Y27))))</f>
        <v>DER.WEB</v>
      </c>
      <c r="Y27" s="8" t="n">
        <f aca="false">IF(ISERROR(MATCH(A27,'[1]liste reference'!$A$7:$A$906,0)),IF(ISERROR(MATCH(A27,'[1]liste reference'!$B$7:$B$906,0)),"",(MATCH(A27,'[1]liste reference'!$B$7:$B$906,0))),(MATCH(A27,'[1]liste reference'!$A$7:$A$906,0)))</f>
        <v>89</v>
      </c>
      <c r="Z27" s="210"/>
      <c r="AA27" s="211"/>
      <c r="BB27" s="8" t="n">
        <f aca="false">IF(A27="","",1)</f>
        <v>1</v>
      </c>
    </row>
    <row r="28" customFormat="false" ht="12.75" hidden="false" customHeight="false" outlineLevel="0" collapsed="false">
      <c r="A28" s="212"/>
      <c r="B28" s="213"/>
      <c r="C28" s="214"/>
      <c r="D28" s="215" t="str">
        <f aca="false">IF(ISERROR(VLOOKUP($A28,'[1]liste reference'!$A$7:$D$906,2,0)),IF(ISERROR(VLOOKUP($A28,'[1]liste reference'!$B$7:$D$906,1,0)),"",VLOOKUP($A28,'[1]liste reference'!$B$7:$D$906,1,0)),VLOOKUP($A28,'[1]liste reference'!$A$7:$D$906,2,0))</f>
        <v/>
      </c>
      <c r="E28" s="215" t="n">
        <f aca="false">IF(D28="",0,VLOOKUP(D28,D$22:D27,1,0))</f>
        <v>0</v>
      </c>
      <c r="F28" s="216" t="n">
        <f aca="false">($B28*$B$7+$C28*$C$7)/100</f>
        <v>0</v>
      </c>
      <c r="G28" s="217" t="str">
        <f aca="false">IF(A28="","",IF(ISERROR(VLOOKUP($A28,'[1]liste reference'!$A$7:$P$906,13,0)),IF(ISERROR(VLOOKUP($A28,'[1]liste reference'!$B$7:$P$906,12,0)),"    -",VLOOKUP($A28,'[1]liste reference'!$B$7:$P$906,12,0)),VLOOKUP($A28,'[1]liste reference'!$A$7:$P$906,13,0)))</f>
        <v/>
      </c>
      <c r="H28" s="200" t="str">
        <f aca="false">IF(A28="","x",IF(ISERROR(VLOOKUP($A28,'[1]liste reference'!$A$7:$P$906,14,0)),IF(ISERROR(VLOOKUP($A28,'[1]liste reference'!$B$7:$P$906,13,0)),"x",VLOOKUP($A28,'[1]liste reference'!$B$7:$P$906,13,0)),VLOOKUP($A28,'[1]liste reference'!$A$7:$P$906,14,0)))</f>
        <v>x</v>
      </c>
      <c r="I28" s="218" t="str">
        <f aca="false">IF(ISNUMBER(H28),IF(ISERROR(VLOOKUP($A28,'[1]liste reference'!$A$7:$P$906,3,0)),IF(ISERROR(VLOOKUP($A28,'[1]liste reference'!$B$7:$P$906,2,0)),"",VLOOKUP($A28,'[1]liste reference'!$B$7:$P$906,2,0)),VLOOKUP($A28,'[1]liste reference'!$A$7:$P$906,3,0)),"")</f>
        <v/>
      </c>
      <c r="J28" s="202" t="str">
        <f aca="false">IF(ISNUMBER(H28),IF(ISERROR(VLOOKUP($A28,'[1]liste reference'!$A$7:$P$906,4,0)),IF(ISERROR(VLOOKUP($A28,'[1]liste reference'!$B$7:$P$906,3,0)),"",VLOOKUP($A28,'[1]liste reference'!$B$7:$P$906,3,0)),VLOOKUP($A28,'[1]liste reference'!$A$7:$P$906,4,0)),"")</f>
        <v/>
      </c>
      <c r="K28" s="219" t="str">
        <f aca="false">IF(A28="NEW.COD",AA28,IF(ISTEXT($E28),"DEJA SAISI !",IF(A28="","",IF(ISERROR(VLOOKUP($A28,'[1]liste reference'!$A$7:$D$906,2,0)),IF(ISERROR(VLOOKUP($A28,'[1]liste reference'!$B$7:$D$906,1,0)),"code non répertorié ou synonyme",VLOOKUP($A28,'[1]liste reference'!$B$7:$D$906,1,0)),VLOOKUP(A28,'[1]liste reference'!$A$7:$D$906,2,0)))))</f>
        <v/>
      </c>
      <c r="L28" s="220"/>
      <c r="M28" s="220"/>
      <c r="N28" s="220"/>
      <c r="O28" s="205"/>
      <c r="P28" s="206" t="str">
        <f aca="false">IF(ISTEXT(H28),"",(B28*$B$7/100)+(C28*$C$7/100))</f>
        <v/>
      </c>
      <c r="Q28" s="207" t="str">
        <f aca="false">IF(OR(ISTEXT(H28),P28=0),"",IF(P28&lt;0.1,1,IF(P28&lt;1,2,IF(P28&lt;10,3,IF(P28&lt;50,4,IF(P28&gt;=50,5,""))))))</f>
        <v/>
      </c>
      <c r="R28" s="207" t="n">
        <f aca="false">IF(ISERROR(Q28*I28),0,Q28*I28)</f>
        <v>0</v>
      </c>
      <c r="S28" s="207" t="n">
        <f aca="false">IF(ISERROR(Q28*I28*J28),0,Q28*I28*J28)</f>
        <v>0</v>
      </c>
      <c r="T28" s="221" t="n">
        <f aca="false">IF(ISERROR(Q28*J28),0,Q28*J28)</f>
        <v>0</v>
      </c>
      <c r="U28" s="208" t="str">
        <f aca="false">IF(AND(A28="",F28=0),"",IF(F28=0,"Il manque le(s) % de rec. !",""))</f>
        <v/>
      </c>
      <c r="V28" s="209"/>
      <c r="X28" s="207" t="str">
        <f aca="false">IF(A28="new.cod","NEW.COD",IF(AND((Y28=""),ISTEXT(A28)),A28,IF(Y28="","",INDEX('[1]liste reference'!$A$7:$A$906,Y28))))</f>
        <v/>
      </c>
      <c r="Y28" s="8" t="str">
        <f aca="false">IF(ISERROR(MATCH(A28,'[1]liste reference'!$A$7:$A$906,0)),IF(ISERROR(MATCH(A28,'[1]liste reference'!$B$7:$B$906,0)),"",(MATCH(A28,'[1]liste reference'!$B$7:$B$906,0))),(MATCH(A28,'[1]liste reference'!$A$7:$A$906,0)))</f>
        <v/>
      </c>
      <c r="Z28" s="210"/>
      <c r="AA28" s="211"/>
      <c r="BB28" s="8" t="str">
        <f aca="false">IF(A28="","",1)</f>
        <v/>
      </c>
    </row>
    <row r="29" customFormat="false" ht="12.75" hidden="false" customHeight="false" outlineLevel="0" collapsed="false">
      <c r="A29" s="212" t="s">
        <v>77</v>
      </c>
      <c r="B29" s="213" t="n">
        <v>0.03</v>
      </c>
      <c r="C29" s="214"/>
      <c r="D29" s="215" t="str">
        <f aca="false">IF(ISERROR(VLOOKUP($A29,'[1]liste reference'!$A$7:$D$906,2,0)),IF(ISERROR(VLOOKUP($A29,'[1]liste reference'!$B$7:$D$906,1,0)),"",VLOOKUP($A29,'[1]liste reference'!$B$7:$D$906,1,0)),VLOOKUP($A29,'[1]liste reference'!$A$7:$D$906,2,0))</f>
        <v>Amblystegium fluviatile (Hygroamblystegium fluviatile)</v>
      </c>
      <c r="E29" s="215" t="e">
        <f aca="false">IF(D29="",0,VLOOKUP(D29,D$22:D28,1,0))</f>
        <v>#N/A</v>
      </c>
      <c r="F29" s="216" t="n">
        <f aca="false">($B29*$B$7+$C29*$C$7)/100</f>
        <v>0.0225</v>
      </c>
      <c r="G29" s="217" t="str">
        <f aca="false">IF(A29="","",IF(ISERROR(VLOOKUP($A29,'[1]liste reference'!$A$7:$P$906,13,0)),IF(ISERROR(VLOOKUP($A29,'[1]liste reference'!$B$7:$P$906,12,0)),"    -",VLOOKUP($A29,'[1]liste reference'!$B$7:$P$906,12,0)),VLOOKUP($A29,'[1]liste reference'!$A$7:$P$906,13,0)))</f>
        <v>BRm</v>
      </c>
      <c r="H29" s="200" t="n">
        <f aca="false">IF(A29="","x",IF(ISERROR(VLOOKUP($A29,'[1]liste reference'!$A$7:$P$906,14,0)),IF(ISERROR(VLOOKUP($A29,'[1]liste reference'!$B$7:$P$906,13,0)),"x",VLOOKUP($A29,'[1]liste reference'!$B$7:$P$906,13,0)),VLOOKUP($A29,'[1]liste reference'!$A$7:$P$906,14,0)))</f>
        <v>5</v>
      </c>
      <c r="I29" s="218" t="n">
        <f aca="false">IF(ISNUMBER(H29),IF(ISERROR(VLOOKUP($A29,'[1]liste reference'!$A$7:$P$906,3,0)),IF(ISERROR(VLOOKUP($A29,'[1]liste reference'!$B$7:$P$906,2,0)),"",VLOOKUP($A29,'[1]liste reference'!$B$7:$P$906,2,0)),VLOOKUP($A29,'[1]liste reference'!$A$7:$P$906,3,0)),"")</f>
        <v>11</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Amblystegium fluviatile (Hygroamblystegium fluviatile)</v>
      </c>
      <c r="L29" s="220"/>
      <c r="M29" s="220"/>
      <c r="N29" s="220"/>
      <c r="O29" s="205"/>
      <c r="P29" s="206" t="n">
        <f aca="false">IF(ISTEXT(H29),"",(B29*$B$7/100)+(C29*$C$7/100))</f>
        <v>0.0225</v>
      </c>
      <c r="Q29" s="207" t="n">
        <f aca="false">IF(OR(ISTEXT(H29),P29=0),"",IF(P29&lt;0.1,1,IF(P29&lt;1,2,IF(P29&lt;10,3,IF(P29&lt;50,4,IF(P29&gt;=50,5,""))))))</f>
        <v>1</v>
      </c>
      <c r="R29" s="207" t="n">
        <f aca="false">IF(ISERROR(Q29*I29),0,Q29*I29)</f>
        <v>11</v>
      </c>
      <c r="S29" s="207" t="n">
        <f aca="false">IF(ISERROR(Q29*I29*J29),0,Q29*I29*J29)</f>
        <v>22</v>
      </c>
      <c r="T29" s="221" t="n">
        <f aca="false">IF(ISERROR(Q29*J29),0,Q29*J29)</f>
        <v>2</v>
      </c>
      <c r="U29" s="208" t="str">
        <f aca="false">IF(AND(A29="",F29=0),"",IF(F29=0,"Il manque le(s) % de rec. !",""))</f>
        <v/>
      </c>
      <c r="V29" s="209"/>
      <c r="X29" s="207" t="str">
        <f aca="false">IF(A29="new.cod","NEW.COD",IF(AND((Y29=""),ISTEXT(A29)),A29,IF(Y29="","",INDEX('[1]liste reference'!$A$7:$A$906,Y29))))</f>
        <v>AMB.FLU</v>
      </c>
      <c r="Y29" s="8" t="n">
        <f aca="false">IF(ISERROR(MATCH(A29,'[1]liste reference'!$A$7:$A$906,0)),IF(ISERROR(MATCH(A29,'[1]liste reference'!$B$7:$B$906,0)),"",(MATCH(A29,'[1]liste reference'!$B$7:$B$906,0))),(MATCH(A29,'[1]liste reference'!$A$7:$A$906,0)))</f>
        <v>148</v>
      </c>
      <c r="Z29" s="210"/>
      <c r="AA29" s="211"/>
      <c r="BB29" s="8" t="n">
        <f aca="false">IF(A29="","",1)</f>
        <v>1</v>
      </c>
    </row>
    <row r="30" customFormat="false" ht="12.75" hidden="false" customHeight="false" outlineLevel="0" collapsed="false">
      <c r="A30" s="212" t="s">
        <v>78</v>
      </c>
      <c r="B30" s="213"/>
      <c r="C30" s="214" t="n">
        <v>0.02</v>
      </c>
      <c r="D30" s="215" t="str">
        <f aca="false">IF(ISERROR(VLOOKUP($A30,'[1]liste reference'!$A$7:$D$906,2,0)),IF(ISERROR(VLOOKUP($A30,'[1]liste reference'!$B$7:$D$906,1,0)),"",VLOOKUP($A30,'[1]liste reference'!$B$7:$D$906,1,0)),VLOOKUP($A30,'[1]liste reference'!$A$7:$D$906,2,0))</f>
        <v>Amblystegium riparium (Leptodictyum riparium)</v>
      </c>
      <c r="E30" s="215" t="e">
        <f aca="false">IF(D30="",0,VLOOKUP(D30,D$22:D29,1,0))</f>
        <v>#N/A</v>
      </c>
      <c r="F30" s="216" t="n">
        <f aca="false">($B30*$B$7+$C30*$C$7)/100</f>
        <v>0.005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Amblystegium riparium (Leptodictyum riparium)</v>
      </c>
      <c r="L30" s="220"/>
      <c r="M30" s="220"/>
      <c r="N30" s="220"/>
      <c r="O30" s="205"/>
      <c r="P30" s="206" t="n">
        <f aca="false">IF(ISTEXT(H30),"",(B30*$B$7/100)+(C30*$C$7/100))</f>
        <v>0.005</v>
      </c>
      <c r="Q30" s="207" t="n">
        <f aca="false">IF(OR(ISTEXT(H30),P30=0),"",IF(P30&lt;0.1,1,IF(P30&lt;1,2,IF(P30&lt;10,3,IF(P30&lt;50,4,IF(P30&gt;=50,5,""))))))</f>
        <v>1</v>
      </c>
      <c r="R30" s="207" t="n">
        <f aca="false">IF(ISERROR(Q30*I30),0,Q30*I30)</f>
        <v>5</v>
      </c>
      <c r="S30" s="207" t="n">
        <f aca="false">IF(ISERROR(Q30*I30*J30),0,Q30*I30*J30)</f>
        <v>10</v>
      </c>
      <c r="T30" s="221" t="n">
        <f aca="false">IF(ISERROR(Q30*J30),0,Q30*J30)</f>
        <v>2</v>
      </c>
      <c r="U30" s="208" t="str">
        <f aca="false">IF(AND(A30="",F30=0),"",IF(F30=0,"Il manque le(s) % de rec. !",""))</f>
        <v/>
      </c>
      <c r="V30" s="209"/>
      <c r="X30" s="207" t="str">
        <f aca="false">IF(A30="new.cod","NEW.COD",IF(AND((Y30=""),ISTEXT(A30)),A30,IF(Y30="","",INDEX('[1]liste reference'!$A$7:$A$906,Y30))))</f>
        <v>AMB.RIP</v>
      </c>
      <c r="Y30" s="8" t="n">
        <f aca="false">IF(ISERROR(MATCH(A30,'[1]liste reference'!$A$7:$A$906,0)),IF(ISERROR(MATCH(A30,'[1]liste reference'!$B$7:$B$906,0)),"",(MATCH(A30,'[1]liste reference'!$B$7:$B$906,0))),(MATCH(A30,'[1]liste reference'!$A$7:$A$906,0)))</f>
        <v>149</v>
      </c>
      <c r="Z30" s="210"/>
      <c r="AA30" s="211"/>
      <c r="BB30" s="8" t="n">
        <f aca="false">IF(A30="","",1)</f>
        <v>1</v>
      </c>
    </row>
    <row r="31" customFormat="false" ht="12.75" hidden="false" customHeight="false" outlineLevel="0" collapsed="false">
      <c r="A31" s="212" t="s">
        <v>79</v>
      </c>
      <c r="B31" s="213" t="n">
        <v>0.04</v>
      </c>
      <c r="C31" s="214" t="n">
        <v>0.02</v>
      </c>
      <c r="D31" s="215" t="str">
        <f aca="false">IF(ISERROR(VLOOKUP($A31,'[1]liste reference'!$A$7:$D$906,2,0)),IF(ISERROR(VLOOKUP($A31,'[1]liste reference'!$B$7:$D$906,1,0)),"",VLOOKUP($A31,'[1]liste reference'!$B$7:$D$906,1,0)),VLOOKUP($A31,'[1]liste reference'!$A$7:$D$906,2,0))</f>
        <v>Brachythecium rivulare</v>
      </c>
      <c r="E31" s="215" t="e">
        <f aca="false">IF(D31="",0,VLOOKUP(D31,D$21:D30,1,0))</f>
        <v>#N/A</v>
      </c>
      <c r="F31" s="216" t="n">
        <f aca="false">($B31*$B$7+$C31*$C$7)/100</f>
        <v>0.035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15</v>
      </c>
      <c r="J31" s="202" t="n">
        <f aca="false">IF(ISNUMBER(H31),IF(ISERROR(VLOOKUP($A31,'[1]liste reference'!$A$7:$P$906,4,0)),IF(ISERROR(VLOOKUP($A31,'[1]liste reference'!$B$7:$P$906,3,0)),"",VLOOKUP($A31,'[1]liste reference'!$B$7:$P$906,3,0)),VLOOKUP($A31,'[1]liste reference'!$A$7:$P$906,4,0)),"")</f>
        <v>2</v>
      </c>
      <c r="K31" s="219" t="str">
        <f aca="false">IF(A31="NEW.COD",AA31,IF(ISTEXT($E31),"DEJA SAISI !",IF(A31="","",IF(ISERROR(VLOOKUP($A31,'[1]liste reference'!$A$7:$D$906,2,0)),IF(ISERROR(VLOOKUP($A31,'[1]liste reference'!$B$7:$D$906,1,0)),"code non répertorié ou synonyme",VLOOKUP($A31,'[1]liste reference'!$B$7:$D$906,1,0)),VLOOKUP(A31,'[1]liste reference'!$A$7:$D$906,2,0)))))</f>
        <v>Brachythecium rivulare</v>
      </c>
      <c r="L31" s="220"/>
      <c r="M31" s="220"/>
      <c r="N31" s="220"/>
      <c r="O31" s="205"/>
      <c r="P31" s="206" t="n">
        <f aca="false">IF(ISTEXT(H31),"",(B31*$B$7/100)+(C31*$C$7/100))</f>
        <v>0.035</v>
      </c>
      <c r="Q31" s="207" t="n">
        <f aca="false">IF(OR(ISTEXT(H31),P31=0),"",IF(P31&lt;0.1,1,IF(P31&lt;1,2,IF(P31&lt;10,3,IF(P31&lt;50,4,IF(P31&gt;=50,5,""))))))</f>
        <v>1</v>
      </c>
      <c r="R31" s="207" t="n">
        <f aca="false">IF(ISERROR(Q31*I31),0,Q31*I31)</f>
        <v>15</v>
      </c>
      <c r="S31" s="207" t="n">
        <f aca="false">IF(ISERROR(Q31*I31*J31),0,Q31*I31*J31)</f>
        <v>30</v>
      </c>
      <c r="T31" s="221" t="n">
        <f aca="false">IF(ISERROR(Q31*J31),0,Q31*J31)</f>
        <v>2</v>
      </c>
      <c r="U31" s="208" t="str">
        <f aca="false">IF(AND(A31="",F31=0),"",IF(F31=0,"Il manque le(s) % de rec. !",""))</f>
        <v/>
      </c>
      <c r="V31" s="209"/>
      <c r="W31" s="222"/>
      <c r="X31" s="207" t="str">
        <f aca="false">IF(A31="new.cod","NEW.COD",IF(AND((Y31=""),ISTEXT(A31)),A31,IF(Y31="","",INDEX('[1]liste reference'!$A$7:$A$906,Y31))))</f>
        <v>BRA.RIV</v>
      </c>
      <c r="Y31" s="8" t="n">
        <f aca="false">IF(ISERROR(MATCH(A31,'[1]liste reference'!$A$7:$A$906,0)),IF(ISERROR(MATCH(A31,'[1]liste reference'!$B$7:$B$906,0)),"",(MATCH(A31,'[1]liste reference'!$B$7:$B$906,0))),(MATCH(A31,'[1]liste reference'!$A$7:$A$906,0)))</f>
        <v>156</v>
      </c>
      <c r="Z31" s="210"/>
      <c r="AA31" s="211"/>
      <c r="BB31" s="8" t="n">
        <f aca="false">IF(A31="","",1)</f>
        <v>1</v>
      </c>
    </row>
    <row r="32" customFormat="false" ht="12.75" hidden="false" customHeight="false" outlineLevel="0" collapsed="false">
      <c r="A32" s="212" t="s">
        <v>80</v>
      </c>
      <c r="B32" s="213" t="n">
        <v>3</v>
      </c>
      <c r="C32" s="214" t="n">
        <v>0.5</v>
      </c>
      <c r="D32" s="215" t="str">
        <f aca="false">IF(ISERROR(VLOOKUP($A32,'[1]liste reference'!$A$7:$D$906,2,0)),IF(ISERROR(VLOOKUP($A32,'[1]liste reference'!$B$7:$D$906,1,0)),"",VLOOKUP($A32,'[1]liste reference'!$B$7:$D$906,1,0)),VLOOKUP($A32,'[1]liste reference'!$A$7:$D$906,2,0))</f>
        <v>Chiloscyphus polyanthos var. polyanthos (C. polyanthos)</v>
      </c>
      <c r="E32" s="215" t="e">
        <f aca="false">IF(D32="",0,VLOOKUP(D32,D$22:D31,1,0))</f>
        <v>#N/A</v>
      </c>
      <c r="F32" s="216" t="n">
        <f aca="false">($B32*$B$7+$C32*$C$7)/100</f>
        <v>2.375</v>
      </c>
      <c r="G32" s="217" t="str">
        <f aca="false">IF(A32="","",IF(ISERROR(VLOOKUP($A32,'[1]liste reference'!$A$7:$P$906,13,0)),IF(ISERROR(VLOOKUP($A32,'[1]liste reference'!$B$7:$P$906,12,0)),"    -",VLOOKUP($A32,'[1]liste reference'!$B$7:$P$906,12,0)),VLOOKUP($A32,'[1]liste reference'!$A$7:$P$906,13,0)))</f>
        <v>BRh</v>
      </c>
      <c r="H32" s="200" t="n">
        <f aca="false">IF(A32="","x",IF(ISERROR(VLOOKUP($A32,'[1]liste reference'!$A$7:$P$906,14,0)),IF(ISERROR(VLOOKUP($A32,'[1]liste reference'!$B$7:$P$906,13,0)),"x",VLOOKUP($A32,'[1]liste reference'!$B$7:$P$906,13,0)),VLOOKUP($A32,'[1]liste reference'!$A$7:$P$906,14,0)))</f>
        <v>4</v>
      </c>
      <c r="I32" s="218" t="n">
        <f aca="false">IF(ISNUMBER(H32),IF(ISERROR(VLOOKUP($A32,'[1]liste reference'!$A$7:$P$906,3,0)),IF(ISERROR(VLOOKUP($A32,'[1]liste reference'!$B$7:$P$906,2,0)),"",VLOOKUP($A32,'[1]liste reference'!$B$7:$P$906,2,0)),VLOOKUP($A32,'[1]liste reference'!$A$7:$P$906,3,0)),"")</f>
        <v>15</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Chiloscyphus polyanthos var. polyanthos (C. polyanthos)</v>
      </c>
      <c r="L32" s="220"/>
      <c r="M32" s="220"/>
      <c r="N32" s="220"/>
      <c r="O32" s="205"/>
      <c r="P32" s="206" t="n">
        <f aca="false">IF(ISTEXT(H32),"",(B32*$B$7/100)+(C32*$C$7/100))</f>
        <v>2.375</v>
      </c>
      <c r="Q32" s="207" t="n">
        <f aca="false">IF(OR(ISTEXT(H32),P32=0),"",IF(P32&lt;0.1,1,IF(P32&lt;1,2,IF(P32&lt;10,3,IF(P32&lt;50,4,IF(P32&gt;=50,5,""))))))</f>
        <v>3</v>
      </c>
      <c r="R32" s="207" t="n">
        <f aca="false">IF(ISERROR(Q32*I32),0,Q32*I32)</f>
        <v>45</v>
      </c>
      <c r="S32" s="207" t="n">
        <f aca="false">IF(ISERROR(Q32*I32*J32),0,Q32*I32*J32)</f>
        <v>90</v>
      </c>
      <c r="T32" s="221" t="n">
        <f aca="false">IF(ISERROR(Q32*J32),0,Q32*J32)</f>
        <v>6</v>
      </c>
      <c r="U32" s="208" t="str">
        <f aca="false">IF(AND(A32="",F32=0),"",IF(F32=0,"Il manque le(s) % de rec. !",""))</f>
        <v/>
      </c>
      <c r="V32" s="209"/>
      <c r="X32" s="207" t="str">
        <f aca="false">IF(A32="new.cod","NEW.COD",IF(AND((Y32=""),ISTEXT(A32)),A32,IF(Y32="","",INDEX('[1]liste reference'!$A$7:$A$906,Y32))))</f>
        <v>CHI.POL</v>
      </c>
      <c r="Y32" s="8" t="n">
        <f aca="false">IF(ISERROR(MATCH(A32,'[1]liste reference'!$A$7:$A$906,0)),IF(ISERROR(MATCH(A32,'[1]liste reference'!$B$7:$B$906,0)),"",(MATCH(A32,'[1]liste reference'!$B$7:$B$906,0))),(MATCH(A32,'[1]liste reference'!$A$7:$A$906,0)))</f>
        <v>98</v>
      </c>
      <c r="Z32" s="210"/>
      <c r="AA32" s="211"/>
      <c r="BB32" s="8" t="n">
        <f aca="false">IF(A32="","",1)</f>
        <v>1</v>
      </c>
    </row>
    <row r="33" customFormat="false" ht="12.75" hidden="false" customHeight="false" outlineLevel="0" collapsed="false">
      <c r="A33" s="212" t="s">
        <v>81</v>
      </c>
      <c r="B33" s="213" t="n">
        <v>0.02</v>
      </c>
      <c r="C33" s="214"/>
      <c r="D33" s="215" t="str">
        <f aca="false">IF(ISERROR(VLOOKUP($A33,'[1]liste reference'!$A$7:$D$906,2,0)),IF(ISERROR(VLOOKUP($A33,'[1]liste reference'!$B$7:$D$906,1,0)),"",VLOOKUP($A33,'[1]liste reference'!$B$7:$D$906,1,0)),VLOOKUP($A33,'[1]liste reference'!$A$7:$D$906,2,0))</f>
        <v>Jungermannia atrovirens (Solenostoma triste)</v>
      </c>
      <c r="E33" s="215" t="e">
        <f aca="false">IF(D33="",0,VLOOKUP(D33,D$22:D32,1,0))</f>
        <v>#N/A</v>
      </c>
      <c r="F33" s="216" t="n">
        <f aca="false">($B33*$B$7+$C33*$C$7)/100</f>
        <v>0.015</v>
      </c>
      <c r="G33" s="217" t="str">
        <f aca="false">IF(A33="","",IF(ISERROR(VLOOKUP($A33,'[1]liste reference'!$A$7:$P$906,13,0)),IF(ISERROR(VLOOKUP($A33,'[1]liste reference'!$B$7:$P$906,12,0)),"    -",VLOOKUP($A33,'[1]liste reference'!$B$7:$P$906,12,0)),VLOOKUP($A33,'[1]liste reference'!$A$7:$P$906,13,0)))</f>
        <v>BRh</v>
      </c>
      <c r="H33" s="200" t="n">
        <f aca="false">IF(A33="","x",IF(ISERROR(VLOOKUP($A33,'[1]liste reference'!$A$7:$P$906,14,0)),IF(ISERROR(VLOOKUP($A33,'[1]liste reference'!$B$7:$P$906,13,0)),"x",VLOOKUP($A33,'[1]liste reference'!$B$7:$P$906,13,0)),VLOOKUP($A33,'[1]liste reference'!$A$7:$P$906,14,0)))</f>
        <v>4</v>
      </c>
      <c r="I33" s="218" t="n">
        <f aca="false">IF(ISNUMBER(H33),IF(ISERROR(VLOOKUP($A33,'[1]liste reference'!$A$7:$P$906,3,0)),IF(ISERROR(VLOOKUP($A33,'[1]liste reference'!$B$7:$P$906,2,0)),"",VLOOKUP($A33,'[1]liste reference'!$B$7:$P$906,2,0)),VLOOKUP($A33,'[1]liste reference'!$A$7:$P$906,3,0)),"")</f>
        <v>19</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Jungermannia atrovirens (Solenostoma triste)</v>
      </c>
      <c r="L33" s="223"/>
      <c r="M33" s="223"/>
      <c r="N33" s="223"/>
      <c r="O33" s="224"/>
      <c r="P33" s="206" t="n">
        <f aca="false">IF(ISTEXT(H33),"",(B33*$B$7/100)+(C33*$C$7/100))</f>
        <v>0.015</v>
      </c>
      <c r="Q33" s="207" t="n">
        <f aca="false">IF(OR(ISTEXT(H33),P33=0),"",IF(P33&lt;0.1,1,IF(P33&lt;1,2,IF(P33&lt;10,3,IF(P33&lt;50,4,IF(P33&gt;=50,5,""))))))</f>
        <v>1</v>
      </c>
      <c r="R33" s="207" t="n">
        <f aca="false">IF(ISERROR(Q33*I33),0,Q33*I33)</f>
        <v>19</v>
      </c>
      <c r="S33" s="207" t="n">
        <f aca="false">IF(ISERROR(Q33*I33*J33),0,Q33*I33*J33)</f>
        <v>57</v>
      </c>
      <c r="T33" s="221" t="n">
        <f aca="false">IF(ISERROR(Q33*J33),0,Q33*J33)</f>
        <v>3</v>
      </c>
      <c r="U33" s="208" t="str">
        <f aca="false">IF(AND(A33="",F33=0),"",IF(F33=0,"Il manque le(s) % de rec. !",""))</f>
        <v/>
      </c>
      <c r="V33" s="209"/>
      <c r="X33" s="207" t="str">
        <f aca="false">IF(A33="new.cod","NEW.COD",IF(AND((Y33=""),ISTEXT(A33)),A33,IF(Y33="","",INDEX('[1]liste reference'!$A$7:$A$906,Y33))))</f>
        <v>JUG.ATR</v>
      </c>
      <c r="Y33" s="8" t="n">
        <f aca="false">IF(ISERROR(MATCH(A33,'[1]liste reference'!$A$7:$A$906,0)),IF(ISERROR(MATCH(A33,'[1]liste reference'!$B$7:$B$906,0)),"",(MATCH(A33,'[1]liste reference'!$B$7:$B$906,0))),(MATCH(A33,'[1]liste reference'!$A$7:$A$906,0)))</f>
        <v>102</v>
      </c>
      <c r="Z33" s="210"/>
      <c r="AA33" s="211"/>
      <c r="BB33" s="8" t="n">
        <f aca="false">IF(A33="","",1)</f>
        <v>1</v>
      </c>
    </row>
    <row r="34" customFormat="false" ht="12.75" hidden="false" customHeight="false" outlineLevel="0" collapsed="false">
      <c r="A34" s="212" t="s">
        <v>82</v>
      </c>
      <c r="B34" s="213" t="n">
        <v>0.1</v>
      </c>
      <c r="C34" s="214"/>
      <c r="D34" s="215" t="str">
        <f aca="false">IF(ISERROR(VLOOKUP($A34,'[1]liste reference'!$A$7:$D$906,2,0)),IF(ISERROR(VLOOKUP($A34,'[1]liste reference'!$B$7:$D$906,1,0)),"",VLOOKUP($A34,'[1]liste reference'!$B$7:$D$906,1,0)),VLOOKUP($A34,'[1]liste reference'!$A$7:$D$906,2,0))</f>
        <v>Fontinalis squamosa</v>
      </c>
      <c r="E34" s="215" t="e">
        <f aca="false">IF(D34="",0,VLOOKUP(D34,D$22:D33,1,0))</f>
        <v>#N/A</v>
      </c>
      <c r="F34" s="225" t="n">
        <f aca="false">($B34*$B$7+$C34*$C$7)/100</f>
        <v>0.075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16</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Fontinalis squamosa</v>
      </c>
      <c r="L34" s="223"/>
      <c r="M34" s="223"/>
      <c r="N34" s="223"/>
      <c r="O34" s="224"/>
      <c r="P34" s="206" t="n">
        <f aca="false">IF(ISTEXT(H34),"",(B34*$B$7/100)+(C34*$C$7/100))</f>
        <v>0.075</v>
      </c>
      <c r="Q34" s="207" t="n">
        <f aca="false">IF(OR(ISTEXT(H34),P34=0),"",IF(P34&lt;0.1,1,IF(P34&lt;1,2,IF(P34&lt;10,3,IF(P34&lt;50,4,IF(P34&gt;=50,5,""))))))</f>
        <v>1</v>
      </c>
      <c r="R34" s="207" t="n">
        <f aca="false">IF(ISERROR(Q34*I34),0,Q34*I34)</f>
        <v>16</v>
      </c>
      <c r="S34" s="207" t="n">
        <f aca="false">IF(ISERROR(Q34*I34*J34),0,Q34*I34*J34)</f>
        <v>48</v>
      </c>
      <c r="T34" s="221" t="n">
        <f aca="false">IF(ISERROR(Q34*J34),0,Q34*J34)</f>
        <v>3</v>
      </c>
      <c r="U34" s="208" t="str">
        <f aca="false">IF(AND(A34="",F34=0),"",IF(F34=0,"Il manque le(s) % de rec. !",""))</f>
        <v/>
      </c>
      <c r="V34" s="209"/>
      <c r="X34" s="207" t="str">
        <f aca="false">IF(A34="new.cod","NEW.COD",IF(AND((Y34=""),ISTEXT(A34)),A34,IF(Y34="","",INDEX('[1]liste reference'!$A$7:$A$906,Y34))))</f>
        <v>FON.SQU</v>
      </c>
      <c r="Y34" s="8" t="n">
        <f aca="false">IF(ISERROR(MATCH(A34,'[1]liste reference'!$A$7:$A$906,0)),IF(ISERROR(MATCH(A34,'[1]liste reference'!$B$7:$B$906,0)),"",(MATCH(A34,'[1]liste reference'!$B$7:$B$906,0))),(MATCH(A34,'[1]liste reference'!$A$7:$A$906,0)))</f>
        <v>215</v>
      </c>
      <c r="Z34" s="210"/>
      <c r="AA34" s="211"/>
      <c r="BB34" s="8" t="n">
        <f aca="false">IF(A34="","",1)</f>
        <v>1</v>
      </c>
    </row>
    <row r="35" customFormat="false" ht="12.75" hidden="false" customHeight="false" outlineLevel="0" collapsed="false">
      <c r="A35" s="212" t="s">
        <v>83</v>
      </c>
      <c r="B35" s="213" t="n">
        <v>0.02</v>
      </c>
      <c r="C35" s="214"/>
      <c r="D35" s="215" t="str">
        <f aca="false">IF(ISERROR(VLOOKUP($A35,'[1]liste reference'!$A$7:$D$906,2,0)),IF(ISERROR(VLOOKUP($A35,'[1]liste reference'!$B$7:$D$906,1,0)),"",VLOOKUP($A35,'[1]liste reference'!$B$7:$D$906,1,0)),VLOOKUP($A35,'[1]liste reference'!$A$7:$D$906,2,0))</f>
        <v>Porella cordaeana</v>
      </c>
      <c r="E35" s="215" t="e">
        <f aca="false">IF(D35="",0,VLOOKUP(D35,D$22:D34,1,0))</f>
        <v>#N/A</v>
      </c>
      <c r="F35" s="225" t="n">
        <f aca="false">($B35*$B$7+$C35*$C$7)/100</f>
        <v>0.015</v>
      </c>
      <c r="G35" s="217" t="str">
        <f aca="false">IF(A35="","",IF(ISERROR(VLOOKUP($A35,'[1]liste reference'!$A$7:$P$906,13,0)),IF(ISERROR(VLOOKUP($A35,'[1]liste reference'!$B$7:$P$906,12,0)),"    -",VLOOKUP($A35,'[1]liste reference'!$B$7:$P$906,12,0)),VLOOKUP($A35,'[1]liste reference'!$A$7:$P$906,13,0)))</f>
        <v>BRh</v>
      </c>
      <c r="H35" s="200" t="n">
        <f aca="false">IF(A35="","x",IF(ISERROR(VLOOKUP($A35,'[1]liste reference'!$A$7:$P$906,14,0)),IF(ISERROR(VLOOKUP($A35,'[1]liste reference'!$B$7:$P$906,13,0)),"x",VLOOKUP($A35,'[1]liste reference'!$B$7:$P$906,13,0)),VLOOKUP($A35,'[1]liste reference'!$A$7:$P$906,14,0)))</f>
        <v>4</v>
      </c>
      <c r="I35" s="218" t="str">
        <f aca="false">IF(ISNUMBER(H35),IF(ISERROR(VLOOKUP($A35,'[1]liste reference'!$A$7:$P$906,3,0)),IF(ISERROR(VLOOKUP($A35,'[1]liste reference'!$B$7:$P$906,2,0)),"",VLOOKUP($A35,'[1]liste reference'!$B$7:$P$906,2,0)),VLOOKUP($A35,'[1]liste reference'!$A$7:$P$906,3,0)),"")</f>
        <v/>
      </c>
      <c r="J35" s="202" t="str">
        <f aca="false">IF(ISNUMBER(H35),IF(ISERROR(VLOOKUP($A35,'[1]liste reference'!$A$7:$P$906,4,0)),IF(ISERROR(VLOOKUP($A35,'[1]liste reference'!$B$7:$P$906,3,0)),"",VLOOKUP($A35,'[1]liste reference'!$B$7:$P$906,3,0)),VLOOKUP($A35,'[1]liste reference'!$A$7:$P$906,4,0)),"")</f>
        <v/>
      </c>
      <c r="K35" s="219" t="str">
        <f aca="false">IF(A35="NEW.COD",AA35,IF(ISTEXT($E35),"DEJA SAISI !",IF(A35="","",IF(ISERROR(VLOOKUP($A35,'[1]liste reference'!$A$7:$D$906,2,0)),IF(ISERROR(VLOOKUP($A35,'[1]liste reference'!$B$7:$D$906,1,0)),"code non répertorié ou synonyme",VLOOKUP($A35,'[1]liste reference'!$B$7:$D$906,1,0)),VLOOKUP(A35,'[1]liste reference'!$A$7:$D$906,2,0)))))</f>
        <v>Porella cordaeana</v>
      </c>
      <c r="L35" s="220"/>
      <c r="M35" s="220"/>
      <c r="N35" s="220"/>
      <c r="O35" s="205"/>
      <c r="P35" s="206" t="n">
        <f aca="false">IF(ISTEXT(H35),"",(B35*$B$7/100)+(C35*$C$7/100))</f>
        <v>0.015</v>
      </c>
      <c r="Q35" s="207" t="n">
        <f aca="false">IF(OR(ISTEXT(H35),P35=0),"",IF(P35&lt;0.1,1,IF(P35&lt;1,2,IF(P35&lt;10,3,IF(P35&lt;50,4,IF(P35&gt;=50,5,""))))))</f>
        <v>1</v>
      </c>
      <c r="R35" s="207" t="n">
        <f aca="false">IF(ISERROR(Q35*I35),0,Q35*I35)</f>
        <v>0</v>
      </c>
      <c r="S35" s="207" t="n">
        <f aca="false">IF(ISERROR(Q35*I35*J35),0,Q35*I35*J35)</f>
        <v>0</v>
      </c>
      <c r="T35" s="221" t="n">
        <f aca="false">IF(ISERROR(Q35*J35),0,Q35*J35)</f>
        <v>0</v>
      </c>
      <c r="U35" s="208" t="str">
        <f aca="false">IF(AND(A35="",F35=0),"",IF(F35=0,"Il manque le(s) % de rec. !",""))</f>
        <v/>
      </c>
      <c r="V35" s="209"/>
      <c r="X35" s="207" t="str">
        <f aca="false">IF(A35="new.cod","NEW.COD",IF(AND((Y35=""),ISTEXT(A35)),A35,IF(Y35="","",INDEX('[1]liste reference'!$A$7:$A$906,Y35))))</f>
        <v>POR.COR</v>
      </c>
      <c r="Y35" s="8" t="n">
        <f aca="false">IF(ISERROR(MATCH(A35,'[1]liste reference'!$A$7:$A$906,0)),IF(ISERROR(MATCH(A35,'[1]liste reference'!$B$7:$B$906,0)),"",(MATCH(A35,'[1]liste reference'!$B$7:$B$906,0))),(MATCH(A35,'[1]liste reference'!$A$7:$A$906,0)))</f>
        <v>127</v>
      </c>
      <c r="Z35" s="210"/>
      <c r="AA35" s="211"/>
      <c r="BB35" s="8" t="n">
        <f aca="false">IF(A35="","",1)</f>
        <v>1</v>
      </c>
    </row>
    <row r="36" customFormat="false" ht="12.75" hidden="false" customHeight="false" outlineLevel="0" collapsed="false">
      <c r="A36" s="212" t="s">
        <v>84</v>
      </c>
      <c r="B36" s="213" t="n">
        <v>0.3</v>
      </c>
      <c r="C36" s="214" t="n">
        <v>0.03</v>
      </c>
      <c r="D36" s="215" t="str">
        <f aca="false">IF(ISERROR(VLOOKUP($A36,'[1]liste reference'!$A$7:$D$906,2,0)),IF(ISERROR(VLOOKUP($A36,'[1]liste reference'!$B$7:$D$906,1,0)),"",VLOOKUP($A36,'[1]liste reference'!$B$7:$D$906,1,0)),VLOOKUP($A36,'[1]liste reference'!$A$7:$D$906,2,0))</f>
        <v>Rhynchostegium riparioides (Platyhypnidium rusciforme)</v>
      </c>
      <c r="E36" s="215" t="e">
        <f aca="false">IF(D36="",0,VLOOKUP(D36,D$22:D35,1,0))</f>
        <v>#N/A</v>
      </c>
      <c r="F36" s="225" t="n">
        <f aca="false">($B36*$B$7+$C36*$C$7)/100</f>
        <v>0.2325</v>
      </c>
      <c r="G36" s="217" t="str">
        <f aca="false">IF(A36="","",IF(ISERROR(VLOOKUP($A36,'[1]liste reference'!$A$7:$P$906,13,0)),IF(ISERROR(VLOOKUP($A36,'[1]liste reference'!$B$7:$P$906,12,0)),"    -",VLOOKUP($A36,'[1]liste reference'!$B$7:$P$906,12,0)),VLOOKUP($A36,'[1]liste reference'!$A$7:$P$906,13,0)))</f>
        <v>BRm</v>
      </c>
      <c r="H36" s="200" t="n">
        <f aca="false">IF(A36="","x",IF(ISERROR(VLOOKUP($A36,'[1]liste reference'!$A$7:$P$906,14,0)),IF(ISERROR(VLOOKUP($A36,'[1]liste reference'!$B$7:$P$906,13,0)),"x",VLOOKUP($A36,'[1]liste reference'!$B$7:$P$906,13,0)),VLOOKUP($A36,'[1]liste reference'!$A$7:$P$906,14,0)))</f>
        <v>5</v>
      </c>
      <c r="I36" s="218" t="n">
        <f aca="false">IF(ISNUMBER(H36),IF(ISERROR(VLOOKUP($A36,'[1]liste reference'!$A$7:$P$906,3,0)),IF(ISERROR(VLOOKUP($A36,'[1]liste reference'!$B$7:$P$906,2,0)),"",VLOOKUP($A36,'[1]liste reference'!$B$7:$P$906,2,0)),VLOOKUP($A36,'[1]liste reference'!$A$7:$P$906,3,0)),"")</f>
        <v>12</v>
      </c>
      <c r="J36" s="202" t="n">
        <f aca="false">IF(ISNUMBER(H36),IF(ISERROR(VLOOKUP($A36,'[1]liste reference'!$A$7:$P$906,4,0)),IF(ISERROR(VLOOKUP($A36,'[1]liste reference'!$B$7:$P$906,3,0)),"",VLOOKUP($A36,'[1]liste reference'!$B$7:$P$906,3,0)),VLOOKUP($A36,'[1]liste reference'!$A$7:$P$906,4,0)),"")</f>
        <v>1</v>
      </c>
      <c r="K36" s="219" t="str">
        <f aca="false">IF(A36="NEW.COD",AA36,IF(ISTEXT($E36),"DEJA SAISI !",IF(A36="","",IF(ISERROR(VLOOKUP($A36,'[1]liste reference'!$A$7:$D$906,2,0)),IF(ISERROR(VLOOKUP($A36,'[1]liste reference'!$B$7:$D$906,1,0)),"code non répertorié ou synonyme",VLOOKUP($A36,'[1]liste reference'!$B$7:$D$906,1,0)),VLOOKUP(A36,'[1]liste reference'!$A$7:$D$906,2,0)))))</f>
        <v>Rhynchostegium riparioides (Platyhypnidium rusciforme)</v>
      </c>
      <c r="L36" s="220"/>
      <c r="M36" s="220"/>
      <c r="N36" s="220"/>
      <c r="O36" s="205"/>
      <c r="P36" s="206" t="n">
        <f aca="false">IF(ISTEXT(H36),"",(B36*$B$7/100)+(C36*$C$7/100))</f>
        <v>0.2325</v>
      </c>
      <c r="Q36" s="207" t="n">
        <f aca="false">IF(OR(ISTEXT(H36),P36=0),"",IF(P36&lt;0.1,1,IF(P36&lt;1,2,IF(P36&lt;10,3,IF(P36&lt;50,4,IF(P36&gt;=50,5,""))))))</f>
        <v>2</v>
      </c>
      <c r="R36" s="207" t="n">
        <f aca="false">IF(ISERROR(Q36*I36),0,Q36*I36)</f>
        <v>24</v>
      </c>
      <c r="S36" s="207" t="n">
        <f aca="false">IF(ISERROR(Q36*I36*J36),0,Q36*I36*J36)</f>
        <v>24</v>
      </c>
      <c r="T36" s="221" t="n">
        <f aca="false">IF(ISERROR(Q36*J36),0,Q36*J36)</f>
        <v>2</v>
      </c>
      <c r="U36" s="208" t="str">
        <f aca="false">IF(AND(A36="",F36=0),"",IF(F36=0,"Il manque le(s) % de rec. !",""))</f>
        <v/>
      </c>
      <c r="V36" s="209"/>
      <c r="W36" s="209"/>
      <c r="X36" s="207" t="str">
        <f aca="false">IF(A36="new.cod","NEW.COD",IF(AND((Y36=""),ISTEXT(A36)),A36,IF(Y36="","",INDEX('[1]liste reference'!$A$7:$A$906,Y36))))</f>
        <v>RHY.RIP</v>
      </c>
      <c r="Y36" s="8" t="n">
        <f aca="false">IF(ISERROR(MATCH(A36,'[1]liste reference'!$A$7:$A$906,0)),IF(ISERROR(MATCH(A36,'[1]liste reference'!$B$7:$B$906,0)),"",(MATCH(A36,'[1]liste reference'!$B$7:$B$906,0))),(MATCH(A36,'[1]liste reference'!$A$7:$A$906,0)))</f>
        <v>253</v>
      </c>
      <c r="Z36" s="210"/>
      <c r="AA36" s="211"/>
      <c r="BB36" s="8" t="n">
        <f aca="false">IF(A36="","",1)</f>
        <v>1</v>
      </c>
    </row>
    <row r="37" customFormat="false" ht="12.75" hidden="false" customHeight="false" outlineLevel="0" collapsed="false">
      <c r="A37" s="212" t="s">
        <v>85</v>
      </c>
      <c r="B37" s="213" t="n">
        <v>0.02</v>
      </c>
      <c r="C37" s="214"/>
      <c r="D37" s="215" t="str">
        <f aca="false">IF(ISERROR(VLOOKUP($A37,'[1]liste reference'!$A$7:$D$906,2,0)),IF(ISERROR(VLOOKUP($A37,'[1]liste reference'!$B$7:$D$906,1,0)),"",VLOOKUP($A37,'[1]liste reference'!$B$7:$D$906,1,0)),VLOOKUP($A37,'[1]liste reference'!$A$7:$D$906,2,0))</f>
        <v>Scapania undulata</v>
      </c>
      <c r="E37" s="215" t="e">
        <f aca="false">IF(D37="",0,VLOOKUP(D37,D$22:D36,1,0))</f>
        <v>#N/A</v>
      </c>
      <c r="F37" s="225" t="n">
        <f aca="false">($B37*$B$7+$C37*$C$7)/100</f>
        <v>0.015</v>
      </c>
      <c r="G37" s="217" t="str">
        <f aca="false">IF(A37="","",IF(ISERROR(VLOOKUP($A37,'[1]liste reference'!$A$7:$P$906,13,0)),IF(ISERROR(VLOOKUP($A37,'[1]liste reference'!$B$7:$P$906,12,0)),"    -",VLOOKUP($A37,'[1]liste reference'!$B$7:$P$906,12,0)),VLOOKUP($A37,'[1]liste reference'!$A$7:$P$906,13,0)))</f>
        <v>BRh</v>
      </c>
      <c r="H37" s="200" t="n">
        <f aca="false">IF(A37="","x",IF(ISERROR(VLOOKUP($A37,'[1]liste reference'!$A$7:$P$906,14,0)),IF(ISERROR(VLOOKUP($A37,'[1]liste reference'!$B$7:$P$906,13,0)),"x",VLOOKUP($A37,'[1]liste reference'!$B$7:$P$906,13,0)),VLOOKUP($A37,'[1]liste reference'!$A$7:$P$906,14,0)))</f>
        <v>4</v>
      </c>
      <c r="I37" s="218" t="n">
        <f aca="false">IF(ISNUMBER(H37),IF(ISERROR(VLOOKUP($A37,'[1]liste reference'!$A$7:$P$906,3,0)),IF(ISERROR(VLOOKUP($A37,'[1]liste reference'!$B$7:$P$906,2,0)),"",VLOOKUP($A37,'[1]liste reference'!$B$7:$P$906,2,0)),VLOOKUP($A37,'[1]liste reference'!$A$7:$P$906,3,0)),"")</f>
        <v>17</v>
      </c>
      <c r="J37" s="202" t="n">
        <f aca="false">IF(ISNUMBER(H37),IF(ISERROR(VLOOKUP($A37,'[1]liste reference'!$A$7:$P$906,4,0)),IF(ISERROR(VLOOKUP($A37,'[1]liste reference'!$B$7:$P$906,3,0)),"",VLOOKUP($A37,'[1]liste reference'!$B$7:$P$906,3,0)),VLOOKUP($A37,'[1]liste reference'!$A$7:$P$906,4,0)),"")</f>
        <v>3</v>
      </c>
      <c r="K37" s="219" t="str">
        <f aca="false">IF(A37="NEW.COD",AA37,IF(ISTEXT($E37),"DEJA SAISI !",IF(A37="","",IF(ISERROR(VLOOKUP($A37,'[1]liste reference'!$A$7:$D$906,2,0)),IF(ISERROR(VLOOKUP($A37,'[1]liste reference'!$B$7:$D$906,1,0)),"code non répertorié ou synonyme",VLOOKUP($A37,'[1]liste reference'!$B$7:$D$906,1,0)),VLOOKUP(A37,'[1]liste reference'!$A$7:$D$906,2,0)))))</f>
        <v>Scapania undulata</v>
      </c>
      <c r="L37" s="220"/>
      <c r="M37" s="220"/>
      <c r="N37" s="220"/>
      <c r="O37" s="205"/>
      <c r="P37" s="206" t="n">
        <f aca="false">IF(ISTEXT(H37),"",(B37*$B$7/100)+(C37*$C$7/100))</f>
        <v>0.015</v>
      </c>
      <c r="Q37" s="207" t="n">
        <f aca="false">IF(OR(ISTEXT(H37),P37=0),"",IF(P37&lt;0.1,1,IF(P37&lt;1,2,IF(P37&lt;10,3,IF(P37&lt;50,4,IF(P37&gt;=50,5,""))))))</f>
        <v>1</v>
      </c>
      <c r="R37" s="207" t="n">
        <f aca="false">IF(ISERROR(Q37*I37),0,Q37*I37)</f>
        <v>17</v>
      </c>
      <c r="S37" s="207" t="n">
        <f aca="false">IF(ISERROR(Q37*I37*J37),0,Q37*I37*J37)</f>
        <v>51</v>
      </c>
      <c r="T37" s="221" t="n">
        <f aca="false">IF(ISERROR(Q37*J37),0,Q37*J37)</f>
        <v>3</v>
      </c>
      <c r="U37" s="208" t="str">
        <f aca="false">IF(AND(A37="",F37=0),"",IF(F37=0,"Il manque le(s) % de rec. !",""))</f>
        <v/>
      </c>
      <c r="V37" s="209"/>
      <c r="X37" s="207" t="str">
        <f aca="false">IF(A37="new.cod","NEW.COD",IF(AND((Y37=""),ISTEXT(A37)),A37,IF(Y37="","",INDEX('[1]liste reference'!$A$7:$A$906,Y37))))</f>
        <v>SCA.UND</v>
      </c>
      <c r="Y37" s="8" t="n">
        <f aca="false">IF(ISERROR(MATCH(A37,'[1]liste reference'!$A$7:$A$906,0)),IF(ISERROR(MATCH(A37,'[1]liste reference'!$B$7:$B$906,0)),"",(MATCH(A37,'[1]liste reference'!$B$7:$B$906,0))),(MATCH(A37,'[1]liste reference'!$A$7:$A$906,0)))</f>
        <v>145</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t="s">
        <v>86</v>
      </c>
      <c r="B39" s="213"/>
      <c r="C39" s="214" t="n">
        <v>0.02</v>
      </c>
      <c r="D39" s="215" t="str">
        <f aca="false">IF(ISERROR(VLOOKUP($A39,'[1]liste reference'!$A$7:$D$906,2,0)),IF(ISERROR(VLOOKUP($A39,'[1]liste reference'!$B$7:$D$906,1,0)),"",VLOOKUP($A39,'[1]liste reference'!$B$7:$D$906,1,0)),VLOOKUP($A39,'[1]liste reference'!$A$7:$D$906,2,0))</f>
        <v>Agrostis stolonifera</v>
      </c>
      <c r="E39" s="215" t="e">
        <f aca="false">IF(D39="",0,VLOOKUP(D39,D$22:D38,1,0))</f>
        <v>#N/A</v>
      </c>
      <c r="F39" s="225" t="n">
        <f aca="false">($B39*$B$7+$C39*$C$7)/100</f>
        <v>0.005</v>
      </c>
      <c r="G39" s="217" t="str">
        <f aca="false">IF(A39="","",IF(ISERROR(VLOOKUP($A39,'[1]liste reference'!$A$7:$P$906,13,0)),IF(ISERROR(VLOOKUP($A39,'[1]liste reference'!$B$7:$P$906,12,0)),"    -",VLOOKUP($A39,'[1]liste reference'!$B$7:$P$906,12,0)),VLOOKUP($A39,'[1]liste reference'!$A$7:$P$906,13,0)))</f>
        <v>PHe</v>
      </c>
      <c r="H39" s="200" t="n">
        <f aca="false">IF(A39="","x",IF(ISERROR(VLOOKUP($A39,'[1]liste reference'!$A$7:$P$906,14,0)),IF(ISERROR(VLOOKUP($A39,'[1]liste reference'!$B$7:$P$906,13,0)),"x",VLOOKUP($A39,'[1]liste reference'!$B$7:$P$906,13,0)),VLOOKUP($A39,'[1]liste reference'!$A$7:$P$906,14,0)))</f>
        <v>8</v>
      </c>
      <c r="I39" s="218" t="n">
        <f aca="false">IF(ISNUMBER(H39),IF(ISERROR(VLOOKUP($A39,'[1]liste reference'!$A$7:$P$906,3,0)),IF(ISERROR(VLOOKUP($A39,'[1]liste reference'!$B$7:$P$906,2,0)),"",VLOOKUP($A39,'[1]liste reference'!$B$7:$P$906,2,0)),VLOOKUP($A39,'[1]liste reference'!$A$7:$P$906,3,0)),"")</f>
        <v>10</v>
      </c>
      <c r="J39" s="202" t="n">
        <f aca="false">IF(ISNUMBER(H39),IF(ISERROR(VLOOKUP($A39,'[1]liste reference'!$A$7:$P$906,4,0)),IF(ISERROR(VLOOKUP($A39,'[1]liste reference'!$B$7:$P$906,3,0)),"",VLOOKUP($A39,'[1]liste reference'!$B$7:$P$906,3,0)),VLOOKUP($A39,'[1]liste reference'!$A$7:$P$906,4,0)),"")</f>
        <v>1</v>
      </c>
      <c r="K39" s="219" t="str">
        <f aca="false">IF(A39="NEW.COD",AA39,IF(ISTEXT($E39),"DEJA SAISI !",IF(A39="","",IF(ISERROR(VLOOKUP($A39,'[1]liste reference'!$A$7:$D$906,2,0)),IF(ISERROR(VLOOKUP($A39,'[1]liste reference'!$B$7:$D$906,1,0)),"code non répertorié ou synonyme",VLOOKUP($A39,'[1]liste reference'!$B$7:$D$906,1,0)),VLOOKUP(A39,'[1]liste reference'!$A$7:$D$906,2,0)))))</f>
        <v>Agrostis stolonifera</v>
      </c>
      <c r="L39" s="220"/>
      <c r="M39" s="220"/>
      <c r="N39" s="220"/>
      <c r="O39" s="205"/>
      <c r="P39" s="206" t="n">
        <f aca="false">IF(ISTEXT(H39),"",(B39*$B$7/100)+(C39*$C$7/100))</f>
        <v>0.005</v>
      </c>
      <c r="Q39" s="207" t="n">
        <f aca="false">IF(OR(ISTEXT(H39),P39=0),"",IF(P39&lt;0.1,1,IF(P39&lt;1,2,IF(P39&lt;10,3,IF(P39&lt;50,4,IF(P39&gt;=50,5,""))))))</f>
        <v>1</v>
      </c>
      <c r="R39" s="207" t="n">
        <f aca="false">IF(ISERROR(Q39*I39),0,Q39*I39)</f>
        <v>10</v>
      </c>
      <c r="S39" s="207" t="n">
        <f aca="false">IF(ISERROR(Q39*I39*J39),0,Q39*I39*J39)</f>
        <v>10</v>
      </c>
      <c r="T39" s="221" t="n">
        <f aca="false">IF(ISERROR(Q39*J39),0,Q39*J39)</f>
        <v>1</v>
      </c>
      <c r="U39" s="208" t="str">
        <f aca="false">IF(AND(A39="",F39=0),"",IF(F39=0,"Il manque le(s) % de rec. !",""))</f>
        <v/>
      </c>
      <c r="V39" s="226"/>
      <c r="X39" s="207" t="str">
        <f aca="false">IF(A39="new.cod","NEW.COD",IF(AND((Y39=""),ISTEXT(A39)),A39,IF(Y39="","",INDEX('[1]liste reference'!$A$7:$A$906,Y39))))</f>
        <v>AGR.STO</v>
      </c>
      <c r="Y39" s="8" t="n">
        <f aca="false">IF(ISERROR(MATCH(A39,'[1]liste reference'!$A$7:$A$906,0)),IF(ISERROR(MATCH(A39,'[1]liste reference'!$B$7:$B$906,0)),"",(MATCH(A39,'[1]liste reference'!$B$7:$B$906,0))),(MATCH(A39,'[1]liste reference'!$A$7:$A$906,0)))</f>
        <v>520</v>
      </c>
      <c r="Z39" s="210"/>
      <c r="AA39" s="211"/>
      <c r="BB39" s="8" t="n">
        <f aca="false">IF(A39="","",1)</f>
        <v>1</v>
      </c>
    </row>
    <row r="40" customFormat="false" ht="12.75" hidden="false" customHeight="false" outlineLevel="0" collapsed="false">
      <c r="A40" s="212" t="s">
        <v>87</v>
      </c>
      <c r="B40" s="213" t="n">
        <v>0.8</v>
      </c>
      <c r="C40" s="214"/>
      <c r="D40" s="215" t="str">
        <f aca="false">IF(ISERROR(VLOOKUP($A40,'[1]liste reference'!$A$7:$D$906,2,0)),IF(ISERROR(VLOOKUP($A40,'[1]liste reference'!$B$7:$D$906,1,0)),"",VLOOKUP($A40,'[1]liste reference'!$B$7:$D$906,1,0)),VLOOKUP($A40,'[1]liste reference'!$A$7:$D$906,2,0))</f>
        <v>Callitriche hamulata</v>
      </c>
      <c r="E40" s="215" t="e">
        <f aca="false">IF(D40="",0,VLOOKUP(D40,D$22:D39,1,0))</f>
        <v>#N/A</v>
      </c>
      <c r="F40" s="225" t="n">
        <f aca="false">($B40*$B$7+$C40*$C$7)/100</f>
        <v>0.6</v>
      </c>
      <c r="G40" s="217" t="str">
        <f aca="false">IF(A40="","",IF(ISERROR(VLOOKUP($A40,'[1]liste reference'!$A$7:$P$906,13,0)),IF(ISERROR(VLOOKUP($A40,'[1]liste reference'!$B$7:$P$906,12,0)),"    -",VLOOKUP($A40,'[1]liste reference'!$B$7:$P$906,12,0)),VLOOKUP($A40,'[1]liste reference'!$A$7:$P$906,13,0)))</f>
        <v>PHy</v>
      </c>
      <c r="H40" s="200" t="n">
        <f aca="false">IF(A40="","x",IF(ISERROR(VLOOKUP($A40,'[1]liste reference'!$A$7:$P$906,14,0)),IF(ISERROR(VLOOKUP($A40,'[1]liste reference'!$B$7:$P$906,13,0)),"x",VLOOKUP($A40,'[1]liste reference'!$B$7:$P$906,13,0)),VLOOKUP($A40,'[1]liste reference'!$A$7:$P$906,14,0)))</f>
        <v>7</v>
      </c>
      <c r="I40" s="218" t="n">
        <f aca="false">IF(ISNUMBER(H40),IF(ISERROR(VLOOKUP($A40,'[1]liste reference'!$A$7:$P$906,3,0)),IF(ISERROR(VLOOKUP($A40,'[1]liste reference'!$B$7:$P$906,2,0)),"",VLOOKUP($A40,'[1]liste reference'!$B$7:$P$906,2,0)),VLOOKUP($A40,'[1]liste reference'!$A$7:$P$906,3,0)),"")</f>
        <v>12</v>
      </c>
      <c r="J40" s="202" t="n">
        <f aca="false">IF(ISNUMBER(H40),IF(ISERROR(VLOOKUP($A40,'[1]liste reference'!$A$7:$P$906,4,0)),IF(ISERROR(VLOOKUP($A40,'[1]liste reference'!$B$7:$P$906,3,0)),"",VLOOKUP($A40,'[1]liste reference'!$B$7:$P$906,3,0)),VLOOKUP($A40,'[1]liste reference'!$A$7:$P$906,4,0)),"")</f>
        <v>1</v>
      </c>
      <c r="K40" s="219" t="str">
        <f aca="false">IF(A40="NEW.COD",AA40,IF(ISTEXT($E40),"DEJA SAISI !",IF(A40="","",IF(ISERROR(VLOOKUP($A40,'[1]liste reference'!$A$7:$D$906,2,0)),IF(ISERROR(VLOOKUP($A40,'[1]liste reference'!$B$7:$D$906,1,0)),"code non répertorié ou synonyme",VLOOKUP($A40,'[1]liste reference'!$B$7:$D$906,1,0)),VLOOKUP(A40,'[1]liste reference'!$A$7:$D$906,2,0)))))</f>
        <v>Callitriche hamulata</v>
      </c>
      <c r="L40" s="220"/>
      <c r="M40" s="220"/>
      <c r="N40" s="220"/>
      <c r="O40" s="205"/>
      <c r="P40" s="206" t="n">
        <f aca="false">IF(ISTEXT(H40),"",(B40*$B$7/100)+(C40*$C$7/100))</f>
        <v>0.6</v>
      </c>
      <c r="Q40" s="207" t="n">
        <f aca="false">IF(OR(ISTEXT(H40),P40=0),"",IF(P40&lt;0.1,1,IF(P40&lt;1,2,IF(P40&lt;10,3,IF(P40&lt;50,4,IF(P40&gt;=50,5,""))))))</f>
        <v>2</v>
      </c>
      <c r="R40" s="207" t="n">
        <f aca="false">IF(ISERROR(Q40*I40),0,Q40*I40)</f>
        <v>24</v>
      </c>
      <c r="S40" s="207" t="n">
        <f aca="false">IF(ISERROR(Q40*I40*J40),0,Q40*I40*J40)</f>
        <v>24</v>
      </c>
      <c r="T40" s="221" t="n">
        <f aca="false">IF(ISERROR(Q40*J40),0,Q40*J40)</f>
        <v>2</v>
      </c>
      <c r="U40" s="208" t="str">
        <f aca="false">IF(AND(A40="",F40=0),"",IF(F40=0,"Il manque le(s) % de rec. !",""))</f>
        <v/>
      </c>
      <c r="V40" s="209"/>
      <c r="X40" s="207" t="str">
        <f aca="false">IF(A40="new.cod","NEW.COD",IF(AND((Y40=""),ISTEXT(A40)),A40,IF(Y40="","",INDEX('[1]liste reference'!$A$7:$A$906,Y40))))</f>
        <v>CAL.HAM</v>
      </c>
      <c r="Y40" s="8" t="n">
        <f aca="false">IF(ISERROR(MATCH(A40,'[1]liste reference'!$A$7:$A$906,0)),IF(ISERROR(MATCH(A40,'[1]liste reference'!$B$7:$B$906,0)),"",(MATCH(A40,'[1]liste reference'!$B$7:$B$906,0))),(MATCH(A40,'[1]liste reference'!$A$7:$A$906,0)))</f>
        <v>318</v>
      </c>
      <c r="Z40" s="210"/>
      <c r="AA40" s="211"/>
      <c r="BB40" s="8" t="n">
        <f aca="false">IF(A40="","",1)</f>
        <v>1</v>
      </c>
    </row>
    <row r="41" customFormat="false" ht="12.75" hidden="false" customHeight="false" outlineLevel="0" collapsed="false">
      <c r="A41" s="212" t="s">
        <v>88</v>
      </c>
      <c r="B41" s="213"/>
      <c r="C41" s="214" t="n">
        <v>0.1</v>
      </c>
      <c r="D41" s="215" t="str">
        <f aca="false">IF(ISERROR(VLOOKUP($A41,'[1]liste reference'!$A$7:$D$906,2,0)),IF(ISERROR(VLOOKUP($A41,'[1]liste reference'!$B$7:$D$906,1,0)),"",VLOOKUP($A41,'[1]liste reference'!$B$7:$D$906,1,0)),VLOOKUP($A41,'[1]liste reference'!$A$7:$D$906,2,0))</f>
        <v>Callitriche platycarpa</v>
      </c>
      <c r="E41" s="215" t="e">
        <f aca="false">IF(D41="",0,VLOOKUP(D41,D$22:D40,1,0))</f>
        <v>#N/A</v>
      </c>
      <c r="F41" s="225" t="n">
        <f aca="false">($B41*$B$7+$C41*$C$7)/100</f>
        <v>0.025</v>
      </c>
      <c r="G41" s="217" t="str">
        <f aca="false">IF(A41="","",IF(ISERROR(VLOOKUP($A41,'[1]liste reference'!$A$7:$P$906,13,0)),IF(ISERROR(VLOOKUP($A41,'[1]liste reference'!$B$7:$P$906,12,0)),"    -",VLOOKUP($A41,'[1]liste reference'!$B$7:$P$906,12,0)),VLOOKUP($A41,'[1]liste reference'!$A$7:$P$906,13,0)))</f>
        <v>PHy</v>
      </c>
      <c r="H41" s="200" t="n">
        <f aca="false">IF(A41="","x",IF(ISERROR(VLOOKUP($A41,'[1]liste reference'!$A$7:$P$906,14,0)),IF(ISERROR(VLOOKUP($A41,'[1]liste reference'!$B$7:$P$906,13,0)),"x",VLOOKUP($A41,'[1]liste reference'!$B$7:$P$906,13,0)),VLOOKUP($A41,'[1]liste reference'!$A$7:$P$906,14,0)))</f>
        <v>7</v>
      </c>
      <c r="I41" s="218" t="n">
        <f aca="false">IF(ISNUMBER(H41),IF(ISERROR(VLOOKUP($A41,'[1]liste reference'!$A$7:$P$906,3,0)),IF(ISERROR(VLOOKUP($A41,'[1]liste reference'!$B$7:$P$906,2,0)),"",VLOOKUP($A41,'[1]liste reference'!$B$7:$P$906,2,0)),VLOOKUP($A41,'[1]liste reference'!$A$7:$P$906,3,0)),"")</f>
        <v>10</v>
      </c>
      <c r="J41" s="202" t="n">
        <f aca="false">IF(ISNUMBER(H41),IF(ISERROR(VLOOKUP($A41,'[1]liste reference'!$A$7:$P$906,4,0)),IF(ISERROR(VLOOKUP($A41,'[1]liste reference'!$B$7:$P$906,3,0)),"",VLOOKUP($A41,'[1]liste reference'!$B$7:$P$906,3,0)),VLOOKUP($A41,'[1]liste reference'!$A$7:$P$906,4,0)),"")</f>
        <v>1</v>
      </c>
      <c r="K41" s="219" t="str">
        <f aca="false">IF(A41="NEW.COD",AA41,IF(ISTEXT($E41),"DEJA SAISI !",IF(A41="","",IF(ISERROR(VLOOKUP($A41,'[1]liste reference'!$A$7:$D$906,2,0)),IF(ISERROR(VLOOKUP($A41,'[1]liste reference'!$B$7:$D$906,1,0)),"code non répertorié ou synonyme",VLOOKUP($A41,'[1]liste reference'!$B$7:$D$906,1,0)),VLOOKUP(A41,'[1]liste reference'!$A$7:$D$906,2,0)))))</f>
        <v>Callitriche platycarpa</v>
      </c>
      <c r="L41" s="220"/>
      <c r="M41" s="220"/>
      <c r="N41" s="220"/>
      <c r="O41" s="205"/>
      <c r="P41" s="206" t="n">
        <f aca="false">IF(ISTEXT(H41),"",(B41*$B$7/100)+(C41*$C$7/100))</f>
        <v>0.025</v>
      </c>
      <c r="Q41" s="207" t="n">
        <f aca="false">IF(OR(ISTEXT(H41),P41=0),"",IF(P41&lt;0.1,1,IF(P41&lt;1,2,IF(P41&lt;10,3,IF(P41&lt;50,4,IF(P41&gt;=50,5,""))))))</f>
        <v>1</v>
      </c>
      <c r="R41" s="207" t="n">
        <f aca="false">IF(ISERROR(Q41*I41),0,Q41*I41)</f>
        <v>10</v>
      </c>
      <c r="S41" s="207" t="n">
        <f aca="false">IF(ISERROR(Q41*I41*J41),0,Q41*I41*J41)</f>
        <v>10</v>
      </c>
      <c r="T41" s="221" t="n">
        <f aca="false">IF(ISERROR(Q41*J41),0,Q41*J41)</f>
        <v>1</v>
      </c>
      <c r="U41" s="208" t="str">
        <f aca="false">IF(AND(A41="",F41=0),"",IF(F41=0,"Il manque le(s) % de rec. !",""))</f>
        <v/>
      </c>
      <c r="V41" s="209"/>
      <c r="X41" s="207" t="str">
        <f aca="false">IF(A41="new.cod","NEW.COD",IF(AND((Y41=""),ISTEXT(A41)),A41,IF(Y41="","",INDEX('[1]liste reference'!$A$7:$A$906,Y41))))</f>
        <v>CAL.PLA</v>
      </c>
      <c r="Y41" s="8" t="n">
        <f aca="false">IF(ISERROR(MATCH(A41,'[1]liste reference'!$A$7:$A$906,0)),IF(ISERROR(MATCH(A41,'[1]liste reference'!$B$7:$B$906,0)),"",(MATCH(A41,'[1]liste reference'!$B$7:$B$906,0))),(MATCH(A41,'[1]liste reference'!$A$7:$A$906,0)))</f>
        <v>326</v>
      </c>
      <c r="Z41" s="210"/>
      <c r="AA41" s="211"/>
      <c r="BB41" s="8" t="n">
        <f aca="false">IF(A41="","",1)</f>
        <v>1</v>
      </c>
    </row>
    <row r="42" customFormat="false" ht="12.75" hidden="false" customHeight="false" outlineLevel="0" collapsed="false">
      <c r="A42" s="212" t="s">
        <v>89</v>
      </c>
      <c r="B42" s="213" t="n">
        <v>0.05</v>
      </c>
      <c r="C42" s="214" t="n">
        <v>0.1</v>
      </c>
      <c r="D42" s="215" t="str">
        <f aca="false">IF(ISERROR(VLOOKUP($A42,'[1]liste reference'!$A$7:$D$906,2,0)),IF(ISERROR(VLOOKUP($A42,'[1]liste reference'!$B$7:$D$906,1,0)),"",VLOOKUP($A42,'[1]liste reference'!$B$7:$D$906,1,0)),VLOOKUP($A42,'[1]liste reference'!$A$7:$D$906,2,0))</f>
        <v>Carex vesicaria</v>
      </c>
      <c r="E42" s="215" t="e">
        <f aca="false">IF(D42="",0,VLOOKUP(D42,D$22:D41,1,0))</f>
        <v>#N/A</v>
      </c>
      <c r="F42" s="225" t="n">
        <f aca="false">($B42*$B$7+$C42*$C$7)/100</f>
        <v>0.0625</v>
      </c>
      <c r="G42" s="217" t="str">
        <f aca="false">IF(A42="","",IF(ISERROR(VLOOKUP($A42,'[1]liste reference'!$A$7:$P$906,13,0)),IF(ISERROR(VLOOKUP($A42,'[1]liste reference'!$B$7:$P$906,12,0)),"    -",VLOOKUP($A42,'[1]liste reference'!$B$7:$P$906,12,0)),VLOOKUP($A42,'[1]liste reference'!$A$7:$P$906,13,0)))</f>
        <v>PHe</v>
      </c>
      <c r="H42" s="200" t="n">
        <f aca="false">IF(A42="","x",IF(ISERROR(VLOOKUP($A42,'[1]liste reference'!$A$7:$P$906,14,0)),IF(ISERROR(VLOOKUP($A42,'[1]liste reference'!$B$7:$P$906,13,0)),"x",VLOOKUP($A42,'[1]liste reference'!$B$7:$P$906,13,0)),VLOOKUP($A42,'[1]liste reference'!$A$7:$P$906,14,0)))</f>
        <v>8</v>
      </c>
      <c r="I42" s="218" t="n">
        <f aca="false">IF(ISNUMBER(H42),IF(ISERROR(VLOOKUP($A42,'[1]liste reference'!$A$7:$P$906,3,0)),IF(ISERROR(VLOOKUP($A42,'[1]liste reference'!$B$7:$P$906,2,0)),"",VLOOKUP($A42,'[1]liste reference'!$B$7:$P$906,2,0)),VLOOKUP($A42,'[1]liste reference'!$A$7:$P$906,3,0)),"")</f>
        <v>12</v>
      </c>
      <c r="J42" s="202" t="n">
        <f aca="false">IF(ISNUMBER(H42),IF(ISERROR(VLOOKUP($A42,'[1]liste reference'!$A$7:$P$906,4,0)),IF(ISERROR(VLOOKUP($A42,'[1]liste reference'!$B$7:$P$906,3,0)),"",VLOOKUP($A42,'[1]liste reference'!$B$7:$P$906,3,0)),VLOOKUP($A42,'[1]liste reference'!$A$7:$P$906,4,0)),"")</f>
        <v>2</v>
      </c>
      <c r="K42" s="219" t="str">
        <f aca="false">IF(A42="NEW.COD",AA42,IF(ISTEXT($E42),"DEJA SAISI !",IF(A42="","",IF(ISERROR(VLOOKUP($A42,'[1]liste reference'!$A$7:$D$906,2,0)),IF(ISERROR(VLOOKUP($A42,'[1]liste reference'!$B$7:$D$906,1,0)),"code non répertorié ou synonyme",VLOOKUP($A42,'[1]liste reference'!$B$7:$D$906,1,0)),VLOOKUP(A42,'[1]liste reference'!$A$7:$D$906,2,0)))))</f>
        <v>Carex vesicaria</v>
      </c>
      <c r="L42" s="220"/>
      <c r="M42" s="220"/>
      <c r="N42" s="220"/>
      <c r="O42" s="205" t="s">
        <v>90</v>
      </c>
      <c r="P42" s="206" t="n">
        <f aca="false">IF(ISTEXT(H42),"",(B42*$B$7/100)+(C42*$C$7/100))</f>
        <v>0.0625</v>
      </c>
      <c r="Q42" s="207" t="n">
        <f aca="false">IF(OR(ISTEXT(H42),P42=0),"",IF(P42&lt;0.1,1,IF(P42&lt;1,2,IF(P42&lt;10,3,IF(P42&lt;50,4,IF(P42&gt;=50,5,""))))))</f>
        <v>1</v>
      </c>
      <c r="R42" s="207" t="n">
        <f aca="false">IF(ISERROR(Q42*I42),0,Q42*I42)</f>
        <v>12</v>
      </c>
      <c r="S42" s="207" t="n">
        <f aca="false">IF(ISERROR(Q42*I42*J42),0,Q42*I42*J42)</f>
        <v>24</v>
      </c>
      <c r="T42" s="221" t="n">
        <f aca="false">IF(ISERROR(Q42*J42),0,Q42*J42)</f>
        <v>2</v>
      </c>
      <c r="U42" s="208" t="str">
        <f aca="false">IF(AND(A42="",F42=0),"",IF(F42=0,"Il manque le(s) % de rec. !",""))</f>
        <v/>
      </c>
      <c r="V42" s="209"/>
      <c r="X42" s="207" t="str">
        <f aca="false">IF(A42="new.cod","NEW.COD",IF(AND((Y42=""),ISTEXT(A42)),A42,IF(Y42="","",INDEX('[1]liste reference'!$A$7:$A$906,Y42))))</f>
        <v>CAR.VES</v>
      </c>
      <c r="Y42" s="8" t="n">
        <f aca="false">IF(ISERROR(MATCH(A42,'[1]liste reference'!$A$7:$A$906,0)),IF(ISERROR(MATCH(A42,'[1]liste reference'!$B$7:$B$906,0)),"",(MATCH(A42,'[1]liste reference'!$B$7:$B$906,0))),(MATCH(A42,'[1]liste reference'!$A$7:$A$906,0)))</f>
        <v>552</v>
      </c>
      <c r="Z42" s="210" t="s">
        <v>90</v>
      </c>
      <c r="AA42" s="211"/>
      <c r="BB42" s="8" t="n">
        <f aca="false">IF(A42="","",1)</f>
        <v>1</v>
      </c>
    </row>
    <row r="43" customFormat="false" ht="12.75" hidden="false" customHeight="false" outlineLevel="0" collapsed="false">
      <c r="A43" s="212" t="s">
        <v>91</v>
      </c>
      <c r="B43" s="213"/>
      <c r="C43" s="214" t="n">
        <v>0.02</v>
      </c>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0.005</v>
      </c>
      <c r="G43" s="217" t="str">
        <f aca="false">IF(A43="","",IF(ISERROR(VLOOKUP($A43,'[1]liste reference'!$A$7:$P$906,13,0)),IF(ISERROR(VLOOKUP($A43,'[1]liste reference'!$B$7:$P$906,12,0)),"    -",VLOOKUP($A43,'[1]liste reference'!$B$7:$P$906,12,0)),VLOOKUP($A43,'[1]liste reference'!$A$7:$P$906,13,0)))</f>
        <v>-</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Epilobium gr. obscurum</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NEW.COD</v>
      </c>
      <c r="Y43" s="8" t="str">
        <f aca="false">IF(ISERROR(MATCH(A43,'[1]liste reference'!$A$7:$A$906,0)),IF(ISERROR(MATCH(A43,'[1]liste reference'!$B$7:$B$906,0)),"",(MATCH(A43,'[1]liste reference'!$B$7:$B$906,0))),(MATCH(A43,'[1]liste reference'!$A$7:$A$906,0)))</f>
        <v/>
      </c>
      <c r="Z43" s="210"/>
      <c r="AA43" s="211" t="s">
        <v>92</v>
      </c>
      <c r="BB43" s="8" t="n">
        <f aca="false">IF(A43="","",1)</f>
        <v>1</v>
      </c>
    </row>
    <row r="44" customFormat="false" ht="12.75" hidden="false" customHeight="false" outlineLevel="0" collapsed="false">
      <c r="A44" s="212" t="s">
        <v>93</v>
      </c>
      <c r="B44" s="213"/>
      <c r="C44" s="214" t="n">
        <v>0.05</v>
      </c>
      <c r="D44" s="215" t="str">
        <f aca="false">IF(ISERROR(VLOOKUP($A44,'[1]liste reference'!$A$7:$D$906,2,0)),IF(ISERROR(VLOOKUP($A44,'[1]liste reference'!$B$7:$D$906,1,0)),"",VLOOKUP($A44,'[1]liste reference'!$B$7:$D$906,1,0)),VLOOKUP($A44,'[1]liste reference'!$A$7:$D$906,2,0))</f>
        <v>Glyceria fluitans</v>
      </c>
      <c r="E44" s="215" t="e">
        <f aca="false">IF(D44="",0,VLOOKUP(D44,D$22:D43,1,0))</f>
        <v>#N/A</v>
      </c>
      <c r="F44" s="225" t="n">
        <f aca="false">($B44*$B$7+$C44*$C$7)/100</f>
        <v>0.0125</v>
      </c>
      <c r="G44" s="217" t="str">
        <f aca="false">IF(A44="","",IF(ISERROR(VLOOKUP($A44,'[1]liste reference'!$A$7:$P$906,13,0)),IF(ISERROR(VLOOKUP($A44,'[1]liste reference'!$B$7:$P$906,12,0)),"    -",VLOOKUP($A44,'[1]liste reference'!$B$7:$P$906,12,0)),VLOOKUP($A44,'[1]liste reference'!$A$7:$P$906,13,0)))</f>
        <v>PHe</v>
      </c>
      <c r="H44" s="200" t="n">
        <f aca="false">IF(A44="","x",IF(ISERROR(VLOOKUP($A44,'[1]liste reference'!$A$7:$P$906,14,0)),IF(ISERROR(VLOOKUP($A44,'[1]liste reference'!$B$7:$P$906,13,0)),"x",VLOOKUP($A44,'[1]liste reference'!$B$7:$P$906,13,0)),VLOOKUP($A44,'[1]liste reference'!$A$7:$P$906,14,0)))</f>
        <v>8</v>
      </c>
      <c r="I44" s="218" t="n">
        <f aca="false">IF(ISNUMBER(H44),IF(ISERROR(VLOOKUP($A44,'[1]liste reference'!$A$7:$P$906,3,0)),IF(ISERROR(VLOOKUP($A44,'[1]liste reference'!$B$7:$P$906,2,0)),"",VLOOKUP($A44,'[1]liste reference'!$B$7:$P$906,2,0)),VLOOKUP($A44,'[1]liste reference'!$A$7:$P$906,3,0)),"")</f>
        <v>14</v>
      </c>
      <c r="J44" s="202" t="n">
        <f aca="false">IF(ISNUMBER(H44),IF(ISERROR(VLOOKUP($A44,'[1]liste reference'!$A$7:$P$906,4,0)),IF(ISERROR(VLOOKUP($A44,'[1]liste reference'!$B$7:$P$906,3,0)),"",VLOOKUP($A44,'[1]liste reference'!$B$7:$P$906,3,0)),VLOOKUP($A44,'[1]liste reference'!$A$7:$P$906,4,0)),"")</f>
        <v>2</v>
      </c>
      <c r="K44" s="219" t="str">
        <f aca="false">IF(A44="NEW.COD",AA44,IF(ISTEXT($E44),"DEJA SAISI !",IF(A44="","",IF(ISERROR(VLOOKUP($A44,'[1]liste reference'!$A$7:$D$906,2,0)),IF(ISERROR(VLOOKUP($A44,'[1]liste reference'!$B$7:$D$906,1,0)),"code non répertorié ou synonyme",VLOOKUP($A44,'[1]liste reference'!$B$7:$D$906,1,0)),VLOOKUP(A44,'[1]liste reference'!$A$7:$D$906,2,0)))))</f>
        <v>Glyceria fluitans</v>
      </c>
      <c r="L44" s="220"/>
      <c r="M44" s="220"/>
      <c r="N44" s="220"/>
      <c r="O44" s="205"/>
      <c r="P44" s="206" t="n">
        <f aca="false">IF(ISTEXT(H44),"",(B44*$B$7/100)+(C44*$C$7/100))</f>
        <v>0.0125</v>
      </c>
      <c r="Q44" s="207" t="n">
        <f aca="false">IF(OR(ISTEXT(H44),P44=0),"",IF(P44&lt;0.1,1,IF(P44&lt;1,2,IF(P44&lt;10,3,IF(P44&lt;50,4,IF(P44&gt;=50,5,""))))))</f>
        <v>1</v>
      </c>
      <c r="R44" s="207" t="n">
        <f aca="false">IF(ISERROR(Q44*I44),0,Q44*I44)</f>
        <v>14</v>
      </c>
      <c r="S44" s="207" t="n">
        <f aca="false">IF(ISERROR(Q44*I44*J44),0,Q44*I44*J44)</f>
        <v>28</v>
      </c>
      <c r="T44" s="221" t="n">
        <f aca="false">IF(ISERROR(Q44*J44),0,Q44*J44)</f>
        <v>2</v>
      </c>
      <c r="U44" s="208" t="str">
        <f aca="false">IF(AND(A44="",F44=0),"",IF(F44=0,"Il manque le(s) % de rec. !",""))</f>
        <v/>
      </c>
      <c r="V44" s="209"/>
      <c r="X44" s="207" t="str">
        <f aca="false">IF(A44="new.cod","NEW.COD",IF(AND((Y44=""),ISTEXT(A44)),A44,IF(Y44="","",INDEX('[1]liste reference'!$A$7:$A$906,Y44))))</f>
        <v>GLY.FLU</v>
      </c>
      <c r="Y44" s="8" t="n">
        <f aca="false">IF(ISERROR(MATCH(A44,'[1]liste reference'!$A$7:$A$906,0)),IF(ISERROR(MATCH(A44,'[1]liste reference'!$B$7:$B$906,0)),"",(MATCH(A44,'[1]liste reference'!$B$7:$B$906,0))),(MATCH(A44,'[1]liste reference'!$A$7:$A$906,0)))</f>
        <v>580</v>
      </c>
      <c r="Z44" s="210"/>
      <c r="AA44" s="211"/>
      <c r="BB44" s="8" t="n">
        <f aca="false">IF(A44="","",1)</f>
        <v>1</v>
      </c>
    </row>
    <row r="45" customFormat="false" ht="12.75" hidden="false" customHeight="false" outlineLevel="0" collapsed="false">
      <c r="A45" s="212" t="s">
        <v>94</v>
      </c>
      <c r="B45" s="213"/>
      <c r="C45" s="214" t="n">
        <v>0.02</v>
      </c>
      <c r="D45" s="215" t="str">
        <f aca="false">IF(ISERROR(VLOOKUP($A45,'[1]liste reference'!$A$7:$D$906,2,0)),IF(ISERROR(VLOOKUP($A45,'[1]liste reference'!$B$7:$D$906,1,0)),"",VLOOKUP($A45,'[1]liste reference'!$B$7:$D$906,1,0)),VLOOKUP($A45,'[1]liste reference'!$A$7:$D$906,2,0))</f>
        <v>Juncus acutiflorus</v>
      </c>
      <c r="E45" s="215" t="e">
        <f aca="false">IF(D45="",0,VLOOKUP(D45,D$22:D44,1,0))</f>
        <v>#N/A</v>
      </c>
      <c r="F45" s="225" t="n">
        <f aca="false">($B45*$B$7+$C45*$C$7)/100</f>
        <v>0.005</v>
      </c>
      <c r="G45" s="217" t="str">
        <f aca="false">IF(A45="","",IF(ISERROR(VLOOKUP($A45,'[1]liste reference'!$A$7:$P$906,13,0)),IF(ISERROR(VLOOKUP($A45,'[1]liste reference'!$B$7:$P$906,12,0)),"    -",VLOOKUP($A45,'[1]liste reference'!$B$7:$P$906,12,0)),VLOOKUP($A45,'[1]liste reference'!$A$7:$P$906,13,0)))</f>
        <v>PHg</v>
      </c>
      <c r="H45" s="200" t="n">
        <f aca="false">IF(A45="","x",IF(ISERROR(VLOOKUP($A45,'[1]liste reference'!$A$7:$P$906,14,0)),IF(ISERROR(VLOOKUP($A45,'[1]liste reference'!$B$7:$P$906,13,0)),"x",VLOOKUP($A45,'[1]liste reference'!$B$7:$P$906,13,0)),VLOOKUP($A45,'[1]liste reference'!$A$7:$P$906,14,0)))</f>
        <v>9</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Juncus acutiflorus</v>
      </c>
      <c r="L45" s="220"/>
      <c r="M45" s="220"/>
      <c r="N45" s="220"/>
      <c r="O45" s="205"/>
      <c r="P45" s="206" t="n">
        <f aca="false">IF(ISTEXT(H45),"",(B45*$B$7/100)+(C45*$C$7/100))</f>
        <v>0.005</v>
      </c>
      <c r="Q45" s="207" t="n">
        <f aca="false">IF(OR(ISTEXT(H45),P45=0),"",IF(P45&lt;0.1,1,IF(P45&lt;1,2,IF(P45&lt;10,3,IF(P45&lt;50,4,IF(P45&gt;=50,5,""))))))</f>
        <v>1</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JUN.ACU</v>
      </c>
      <c r="Y45" s="8" t="n">
        <f aca="false">IF(ISERROR(MATCH(A45,'[1]liste reference'!$A$7:$A$906,0)),IF(ISERROR(MATCH(A45,'[1]liste reference'!$B$7:$B$906,0)),"",(MATCH(A45,'[1]liste reference'!$B$7:$B$906,0))),(MATCH(A45,'[1]liste reference'!$A$7:$A$906,0)))</f>
        <v>772</v>
      </c>
      <c r="Z45" s="210"/>
      <c r="AA45" s="211"/>
      <c r="BB45" s="8" t="n">
        <f aca="false">IF(A45="","",1)</f>
        <v>1</v>
      </c>
    </row>
    <row r="46" customFormat="false" ht="12.75" hidden="false" customHeight="false" outlineLevel="0" collapsed="false">
      <c r="A46" s="212" t="s">
        <v>95</v>
      </c>
      <c r="B46" s="213"/>
      <c r="C46" s="214" t="n">
        <v>0.03</v>
      </c>
      <c r="D46" s="215" t="str">
        <f aca="false">IF(ISERROR(VLOOKUP($A46,'[1]liste reference'!$A$7:$D$906,2,0)),IF(ISERROR(VLOOKUP($A46,'[1]liste reference'!$B$7:$D$906,1,0)),"",VLOOKUP($A46,'[1]liste reference'!$B$7:$D$906,1,0)),VLOOKUP($A46,'[1]liste reference'!$A$7:$D$906,2,0))</f>
        <v>Juncus effusus</v>
      </c>
      <c r="E46" s="215" t="e">
        <f aca="false">IF(D46="",0,VLOOKUP(D46,D$22:D45,1,0))</f>
        <v>#N/A</v>
      </c>
      <c r="F46" s="225" t="n">
        <f aca="false">($B46*$B$7+$C46*$C$7)/100</f>
        <v>0.0075</v>
      </c>
      <c r="G46" s="217" t="str">
        <f aca="false">IF(A46="","",IF(ISERROR(VLOOKUP($A46,'[1]liste reference'!$A$7:$P$906,13,0)),IF(ISERROR(VLOOKUP($A46,'[1]liste reference'!$B$7:$P$906,12,0)),"    -",VLOOKUP($A46,'[1]liste reference'!$B$7:$P$906,12,0)),VLOOKUP($A46,'[1]liste reference'!$A$7:$P$906,13,0)))</f>
        <v>PHe</v>
      </c>
      <c r="H46" s="200" t="n">
        <f aca="false">IF(A46="","x",IF(ISERROR(VLOOKUP($A46,'[1]liste reference'!$A$7:$P$906,14,0)),IF(ISERROR(VLOOKUP($A46,'[1]liste reference'!$B$7:$P$906,13,0)),"x",VLOOKUP($A46,'[1]liste reference'!$B$7:$P$906,13,0)),VLOOKUP($A46,'[1]liste reference'!$A$7:$P$906,14,0)))</f>
        <v>8</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Juncus effusus</v>
      </c>
      <c r="L46" s="220"/>
      <c r="M46" s="220"/>
      <c r="N46" s="220"/>
      <c r="O46" s="205"/>
      <c r="P46" s="206" t="n">
        <f aca="false">IF(ISTEXT(H46),"",(B46*$B$7/100)+(C46*$C$7/100))</f>
        <v>0.0075</v>
      </c>
      <c r="Q46" s="207" t="n">
        <f aca="false">IF(OR(ISTEXT(H46),P46=0),"",IF(P46&lt;0.1,1,IF(P46&lt;1,2,IF(P46&lt;10,3,IF(P46&lt;50,4,IF(P46&gt;=50,5,""))))))</f>
        <v>1</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JUN.EFF</v>
      </c>
      <c r="Y46" s="8" t="n">
        <f aca="false">IF(ISERROR(MATCH(A46,'[1]liste reference'!$A$7:$A$906,0)),IF(ISERROR(MATCH(A46,'[1]liste reference'!$B$7:$B$906,0)),"",(MATCH(A46,'[1]liste reference'!$B$7:$B$906,0))),(MATCH(A46,'[1]liste reference'!$A$7:$A$906,0)))</f>
        <v>592</v>
      </c>
      <c r="Z46" s="210"/>
      <c r="AA46" s="211"/>
      <c r="BB46" s="8" t="n">
        <f aca="false">IF(A46="","",1)</f>
        <v>1</v>
      </c>
    </row>
    <row r="47" customFormat="false" ht="12.75" hidden="false" customHeight="false" outlineLevel="0" collapsed="false">
      <c r="A47" s="212" t="s">
        <v>96</v>
      </c>
      <c r="B47" s="213"/>
      <c r="C47" s="214" t="n">
        <v>0.02</v>
      </c>
      <c r="D47" s="215" t="str">
        <f aca="false">IF(ISERROR(VLOOKUP($A47,'[1]liste reference'!$A$7:$D$906,2,0)),IF(ISERROR(VLOOKUP($A47,'[1]liste reference'!$B$7:$D$906,1,0)),"",VLOOKUP($A47,'[1]liste reference'!$B$7:$D$906,1,0)),VLOOKUP($A47,'[1]liste reference'!$A$7:$D$906,2,0))</f>
        <v>Mentha arvensis</v>
      </c>
      <c r="E47" s="215" t="e">
        <f aca="false">IF(D47="",0,VLOOKUP(D47,D$22:D46,1,0))</f>
        <v>#N/A</v>
      </c>
      <c r="F47" s="225" t="n">
        <f aca="false">($B47*$B$7+$C47*$C$7)/100</f>
        <v>0.005</v>
      </c>
      <c r="G47" s="217" t="str">
        <f aca="false">IF(A47="","",IF(ISERROR(VLOOKUP($A47,'[1]liste reference'!$A$7:$P$906,13,0)),IF(ISERROR(VLOOKUP($A47,'[1]liste reference'!$B$7:$P$906,12,0)),"    -",VLOOKUP($A47,'[1]liste reference'!$B$7:$P$906,12,0)),VLOOKUP($A47,'[1]liste reference'!$A$7:$P$906,13,0)))</f>
        <v>PHe</v>
      </c>
      <c r="H47" s="200" t="n">
        <f aca="false">IF(A47="","x",IF(ISERROR(VLOOKUP($A47,'[1]liste reference'!$A$7:$P$906,14,0)),IF(ISERROR(VLOOKUP($A47,'[1]liste reference'!$B$7:$P$906,13,0)),"x",VLOOKUP($A47,'[1]liste reference'!$B$7:$P$906,13,0)),VLOOKUP($A47,'[1]liste reference'!$A$7:$P$906,14,0)))</f>
        <v>8</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Mentha arvensis</v>
      </c>
      <c r="L47" s="220"/>
      <c r="M47" s="220"/>
      <c r="N47" s="220"/>
      <c r="O47" s="205"/>
      <c r="P47" s="206" t="n">
        <f aca="false">IF(ISTEXT(H47),"",(B47*$B$7/100)+(C47*$C$7/100))</f>
        <v>0.005</v>
      </c>
      <c r="Q47" s="207" t="n">
        <f aca="false">IF(OR(ISTEXT(H47),P47=0),"",IF(P47&lt;0.1,1,IF(P47&lt;1,2,IF(P47&lt;10,3,IF(P47&lt;50,4,IF(P47&gt;=50,5,""))))))</f>
        <v>1</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MEN.ARV</v>
      </c>
      <c r="Y47" s="8" t="n">
        <f aca="false">IF(ISERROR(MATCH(A47,'[1]liste reference'!$A$7:$A$906,0)),IF(ISERROR(MATCH(A47,'[1]liste reference'!$B$7:$B$906,0)),"",(MATCH(A47,'[1]liste reference'!$B$7:$B$906,0))),(MATCH(A47,'[1]liste reference'!$A$7:$A$906,0)))</f>
        <v>614</v>
      </c>
      <c r="Z47" s="210"/>
      <c r="AA47" s="211"/>
      <c r="BB47" s="8" t="n">
        <f aca="false">IF(A47="","",1)</f>
        <v>1</v>
      </c>
    </row>
    <row r="48" customFormat="false" ht="12.75" hidden="false" customHeight="false" outlineLevel="0" collapsed="false">
      <c r="A48" s="212" t="s">
        <v>97</v>
      </c>
      <c r="B48" s="213"/>
      <c r="C48" s="214" t="n">
        <v>0.02</v>
      </c>
      <c r="D48" s="215" t="str">
        <f aca="false">IF(ISERROR(VLOOKUP($A48,'[1]liste reference'!$A$7:$D$906,2,0)),IF(ISERROR(VLOOKUP($A48,'[1]liste reference'!$B$7:$D$906,1,0)),"",VLOOKUP($A48,'[1]liste reference'!$B$7:$D$906,1,0)),VLOOKUP($A48,'[1]liste reference'!$A$7:$D$906,2,0))</f>
        <v>Myosotis gr. palustris (M. scorpioïdes)</v>
      </c>
      <c r="E48" s="215" t="e">
        <f aca="false">IF(D48="",0,VLOOKUP(D48,D$22:D47,1,0))</f>
        <v>#N/A</v>
      </c>
      <c r="F48" s="225" t="n">
        <f aca="false">($B48*$B$7+$C48*$C$7)/100</f>
        <v>0.005</v>
      </c>
      <c r="G48" s="217" t="str">
        <f aca="false">IF(A48="","",IF(ISERROR(VLOOKUP($A48,'[1]liste reference'!$A$7:$P$906,13,0)),IF(ISERROR(VLOOKUP($A48,'[1]liste reference'!$B$7:$P$906,12,0)),"    -",VLOOKUP($A48,'[1]liste reference'!$B$7:$P$906,12,0)),VLOOKUP($A48,'[1]liste reference'!$A$7:$P$906,13,0)))</f>
        <v>PHe</v>
      </c>
      <c r="H48" s="200" t="n">
        <f aca="false">IF(A48="","x",IF(ISERROR(VLOOKUP($A48,'[1]liste reference'!$A$7:$P$906,14,0)),IF(ISERROR(VLOOKUP($A48,'[1]liste reference'!$B$7:$P$906,13,0)),"x",VLOOKUP($A48,'[1]liste reference'!$B$7:$P$906,13,0)),VLOOKUP($A48,'[1]liste reference'!$A$7:$P$906,14,0)))</f>
        <v>8</v>
      </c>
      <c r="I48" s="218" t="n">
        <f aca="false">IF(ISNUMBER(H48),IF(ISERROR(VLOOKUP($A48,'[1]liste reference'!$A$7:$P$906,3,0)),IF(ISERROR(VLOOKUP($A48,'[1]liste reference'!$B$7:$P$906,2,0)),"",VLOOKUP($A48,'[1]liste reference'!$B$7:$P$906,2,0)),VLOOKUP($A48,'[1]liste reference'!$A$7:$P$906,3,0)),"")</f>
        <v>12</v>
      </c>
      <c r="J48" s="202" t="n">
        <f aca="false">IF(ISNUMBER(H48),IF(ISERROR(VLOOKUP($A48,'[1]liste reference'!$A$7:$P$906,4,0)),IF(ISERROR(VLOOKUP($A48,'[1]liste reference'!$B$7:$P$906,3,0)),"",VLOOKUP($A48,'[1]liste reference'!$B$7:$P$906,3,0)),VLOOKUP($A48,'[1]liste reference'!$A$7:$P$906,4,0)),"")</f>
        <v>1</v>
      </c>
      <c r="K48" s="219" t="str">
        <f aca="false">IF(A48="NEW.COD",AA48,IF(ISTEXT($E48),"DEJA SAISI !",IF(A48="","",IF(ISERROR(VLOOKUP($A48,'[1]liste reference'!$A$7:$D$906,2,0)),IF(ISERROR(VLOOKUP($A48,'[1]liste reference'!$B$7:$D$906,1,0)),"code non répertorié ou synonyme",VLOOKUP($A48,'[1]liste reference'!$B$7:$D$906,1,0)),VLOOKUP(A48,'[1]liste reference'!$A$7:$D$906,2,0)))))</f>
        <v>Myosotis gr. palustris (M. scorpioïdes)</v>
      </c>
      <c r="L48" s="220"/>
      <c r="M48" s="220"/>
      <c r="N48" s="220"/>
      <c r="O48" s="205"/>
      <c r="P48" s="206" t="n">
        <f aca="false">IF(ISTEXT(H48),"",(B48*$B$7/100)+(C48*$C$7/100))</f>
        <v>0.005</v>
      </c>
      <c r="Q48" s="207" t="n">
        <f aca="false">IF(OR(ISTEXT(H48),P48=0),"",IF(P48&lt;0.1,1,IF(P48&lt;1,2,IF(P48&lt;10,3,IF(P48&lt;50,4,IF(P48&gt;=50,5,""))))))</f>
        <v>1</v>
      </c>
      <c r="R48" s="207" t="n">
        <f aca="false">IF(ISERROR(Q48*I48),0,Q48*I48)</f>
        <v>12</v>
      </c>
      <c r="S48" s="207" t="n">
        <f aca="false">IF(ISERROR(Q48*I48*J48),0,Q48*I48*J48)</f>
        <v>12</v>
      </c>
      <c r="T48" s="221" t="n">
        <f aca="false">IF(ISERROR(Q48*J48),0,Q48*J48)</f>
        <v>1</v>
      </c>
      <c r="U48" s="208" t="str">
        <f aca="false">IF(AND(A48="",F48=0),"",IF(F48=0,"Il manque le(s) % de rec. !",""))</f>
        <v/>
      </c>
      <c r="V48" s="209"/>
      <c r="X48" s="207" t="str">
        <f aca="false">IF(A48="new.cod","NEW.COD",IF(AND((Y48=""),ISTEXT(A48)),A48,IF(Y48="","",INDEX('[1]liste reference'!$A$7:$A$906,Y48))))</f>
        <v>MYO.PAL</v>
      </c>
      <c r="Y48" s="8" t="n">
        <f aca="false">IF(ISERROR(MATCH(A48,'[1]liste reference'!$A$7:$A$906,0)),IF(ISERROR(MATCH(A48,'[1]liste reference'!$B$7:$B$906,0)),"",(MATCH(A48,'[1]liste reference'!$B$7:$B$906,0))),(MATCH(A48,'[1]liste reference'!$A$7:$A$906,0)))</f>
        <v>628</v>
      </c>
      <c r="Z48" s="210"/>
      <c r="AA48" s="211"/>
      <c r="BB48" s="8" t="n">
        <f aca="false">IF(A48="","",1)</f>
        <v>1</v>
      </c>
    </row>
    <row r="49" customFormat="false" ht="12.75" hidden="false" customHeight="false" outlineLevel="0" collapsed="false">
      <c r="A49" s="212" t="s">
        <v>98</v>
      </c>
      <c r="B49" s="213" t="n">
        <v>0.05</v>
      </c>
      <c r="C49" s="214" t="n">
        <v>0.05</v>
      </c>
      <c r="D49" s="215" t="str">
        <f aca="false">IF(ISERROR(VLOOKUP($A49,'[1]liste reference'!$A$7:$D$906,2,0)),IF(ISERROR(VLOOKUP($A49,'[1]liste reference'!$B$7:$D$906,1,0)),"",VLOOKUP($A49,'[1]liste reference'!$B$7:$D$906,1,0)),VLOOKUP($A49,'[1]liste reference'!$A$7:$D$906,2,0))</f>
        <v>Phalaris arundinacea</v>
      </c>
      <c r="E49" s="215" t="e">
        <f aca="false">IF(D49="",0,VLOOKUP(D49,D$22:D48,1,0))</f>
        <v>#N/A</v>
      </c>
      <c r="F49" s="225" t="n">
        <f aca="false">($B49*$B$7+$C49*$C$7)/100</f>
        <v>0.05</v>
      </c>
      <c r="G49" s="217" t="str">
        <f aca="false">IF(A49="","",IF(ISERROR(VLOOKUP($A49,'[1]liste reference'!$A$7:$P$906,13,0)),IF(ISERROR(VLOOKUP($A49,'[1]liste reference'!$B$7:$P$906,12,0)),"    -",VLOOKUP($A49,'[1]liste reference'!$B$7:$P$906,12,0)),VLOOKUP($A49,'[1]liste reference'!$A$7:$P$906,13,0)))</f>
        <v>PHe</v>
      </c>
      <c r="H49" s="200" t="n">
        <f aca="false">IF(A49="","x",IF(ISERROR(VLOOKUP($A49,'[1]liste reference'!$A$7:$P$906,14,0)),IF(ISERROR(VLOOKUP($A49,'[1]liste reference'!$B$7:$P$906,13,0)),"x",VLOOKUP($A49,'[1]liste reference'!$B$7:$P$906,13,0)),VLOOKUP($A49,'[1]liste reference'!$A$7:$P$906,14,0)))</f>
        <v>8</v>
      </c>
      <c r="I49" s="218" t="n">
        <f aca="false">IF(ISNUMBER(H49),IF(ISERROR(VLOOKUP($A49,'[1]liste reference'!$A$7:$P$906,3,0)),IF(ISERROR(VLOOKUP($A49,'[1]liste reference'!$B$7:$P$906,2,0)),"",VLOOKUP($A49,'[1]liste reference'!$B$7:$P$906,2,0)),VLOOKUP($A49,'[1]liste reference'!$A$7:$P$906,3,0)),"")</f>
        <v>10</v>
      </c>
      <c r="J49" s="202" t="n">
        <f aca="false">IF(ISNUMBER(H49),IF(ISERROR(VLOOKUP($A49,'[1]liste reference'!$A$7:$P$906,4,0)),IF(ISERROR(VLOOKUP($A49,'[1]liste reference'!$B$7:$P$906,3,0)),"",VLOOKUP($A49,'[1]liste reference'!$B$7:$P$906,3,0)),VLOOKUP($A49,'[1]liste reference'!$A$7:$P$906,4,0)),"")</f>
        <v>1</v>
      </c>
      <c r="K49" s="219" t="str">
        <f aca="false">IF(A49="NEW.COD",AA49,IF(ISTEXT($E49),"DEJA SAISI !",IF(A49="","",IF(ISERROR(VLOOKUP($A49,'[1]liste reference'!$A$7:$D$906,2,0)),IF(ISERROR(VLOOKUP($A49,'[1]liste reference'!$B$7:$D$906,1,0)),"code non répertorié ou synonyme",VLOOKUP($A49,'[1]liste reference'!$B$7:$D$906,1,0)),VLOOKUP(A49,'[1]liste reference'!$A$7:$D$906,2,0)))))</f>
        <v>Phalaris arundinacea</v>
      </c>
      <c r="L49" s="220"/>
      <c r="M49" s="220"/>
      <c r="N49" s="220"/>
      <c r="O49" s="205"/>
      <c r="P49" s="206" t="n">
        <f aca="false">IF(ISTEXT(H49),"",(B49*$B$7/100)+(C49*$C$7/100))</f>
        <v>0.05</v>
      </c>
      <c r="Q49" s="207" t="n">
        <f aca="false">IF(OR(ISTEXT(H49),P49=0),"",IF(P49&lt;0.1,1,IF(P49&lt;1,2,IF(P49&lt;10,3,IF(P49&lt;50,4,IF(P49&gt;=50,5,""))))))</f>
        <v>1</v>
      </c>
      <c r="R49" s="207" t="n">
        <f aca="false">IF(ISERROR(Q49*I49),0,Q49*I49)</f>
        <v>10</v>
      </c>
      <c r="S49" s="207" t="n">
        <f aca="false">IF(ISERROR(Q49*I49*J49),0,Q49*I49*J49)</f>
        <v>10</v>
      </c>
      <c r="T49" s="221" t="n">
        <f aca="false">IF(ISERROR(Q49*J49),0,Q49*J49)</f>
        <v>1</v>
      </c>
      <c r="U49" s="208" t="str">
        <f aca="false">IF(AND(A49="",F49=0),"",IF(F49=0,"Il manque le(s) % de rec. !",""))</f>
        <v/>
      </c>
      <c r="V49" s="209"/>
      <c r="X49" s="207" t="str">
        <f aca="false">IF(A49="new.cod","NEW.COD",IF(AND((Y49=""),ISTEXT(A49)),A49,IF(Y49="","",INDEX('[1]liste reference'!$A$7:$A$906,Y49))))</f>
        <v>PHA.ARU</v>
      </c>
      <c r="Y49" s="8" t="n">
        <f aca="false">IF(ISERROR(MATCH(A49,'[1]liste reference'!$A$7:$A$906,0)),IF(ISERROR(MATCH(A49,'[1]liste reference'!$B$7:$B$906,0)),"",(MATCH(A49,'[1]liste reference'!$B$7:$B$906,0))),(MATCH(A49,'[1]liste reference'!$A$7:$A$906,0)))</f>
        <v>640</v>
      </c>
      <c r="Z49" s="210"/>
      <c r="AA49" s="211"/>
      <c r="BB49" s="8" t="n">
        <f aca="false">IF(A49="","",1)</f>
        <v>1</v>
      </c>
    </row>
    <row r="50" customFormat="false" ht="12.75" hidden="false" customHeight="false" outlineLevel="0" collapsed="false">
      <c r="A50" s="212" t="s">
        <v>99</v>
      </c>
      <c r="B50" s="213" t="n">
        <v>2.5</v>
      </c>
      <c r="C50" s="214" t="n">
        <v>0.5</v>
      </c>
      <c r="D50" s="215" t="str">
        <f aca="false">IF(ISERROR(VLOOKUP($A50,'[1]liste reference'!$A$7:$D$906,2,0)),IF(ISERROR(VLOOKUP($A50,'[1]liste reference'!$B$7:$D$906,1,0)),"",VLOOKUP($A50,'[1]liste reference'!$B$7:$D$906,1,0)),VLOOKUP($A50,'[1]liste reference'!$A$7:$D$906,2,0))</f>
        <v>Ranunculus peltatus</v>
      </c>
      <c r="E50" s="215" t="e">
        <f aca="false">IF(D50="",0,VLOOKUP(D50,D$22:D49,1,0))</f>
        <v>#N/A</v>
      </c>
      <c r="F50" s="225" t="n">
        <f aca="false">($B50*$B$7+$C50*$C$7)/100</f>
        <v>2</v>
      </c>
      <c r="G50" s="217" t="str">
        <f aca="false">IF(A50="","",IF(ISERROR(VLOOKUP($A50,'[1]liste reference'!$A$7:$P$906,13,0)),IF(ISERROR(VLOOKUP($A50,'[1]liste reference'!$B$7:$P$906,12,0)),"    -",VLOOKUP($A50,'[1]liste reference'!$B$7:$P$906,12,0)),VLOOKUP($A50,'[1]liste reference'!$A$7:$P$906,13,0)))</f>
        <v>PHy</v>
      </c>
      <c r="H50" s="200" t="n">
        <f aca="false">IF(A50="","x",IF(ISERROR(VLOOKUP($A50,'[1]liste reference'!$A$7:$P$906,14,0)),IF(ISERROR(VLOOKUP($A50,'[1]liste reference'!$B$7:$P$906,13,0)),"x",VLOOKUP($A50,'[1]liste reference'!$B$7:$P$906,13,0)),VLOOKUP($A50,'[1]liste reference'!$A$7:$P$906,14,0)))</f>
        <v>7</v>
      </c>
      <c r="I50" s="218" t="n">
        <f aca="false">IF(ISNUMBER(H50),IF(ISERROR(VLOOKUP($A50,'[1]liste reference'!$A$7:$P$906,3,0)),IF(ISERROR(VLOOKUP($A50,'[1]liste reference'!$B$7:$P$906,2,0)),"",VLOOKUP($A50,'[1]liste reference'!$B$7:$P$906,2,0)),VLOOKUP($A50,'[1]liste reference'!$A$7:$P$906,3,0)),"")</f>
        <v>12</v>
      </c>
      <c r="J50" s="202" t="n">
        <f aca="false">IF(ISNUMBER(H50),IF(ISERROR(VLOOKUP($A50,'[1]liste reference'!$A$7:$P$906,4,0)),IF(ISERROR(VLOOKUP($A50,'[1]liste reference'!$B$7:$P$906,3,0)),"",VLOOKUP($A50,'[1]liste reference'!$B$7:$P$906,3,0)),VLOOKUP($A50,'[1]liste reference'!$A$7:$P$906,4,0)),"")</f>
        <v>2</v>
      </c>
      <c r="K50" s="219" t="str">
        <f aca="false">IF(A50="NEW.COD",AA50,IF(ISTEXT($E50),"DEJA SAISI !",IF(A50="","",IF(ISERROR(VLOOKUP($A50,'[1]liste reference'!$A$7:$D$906,2,0)),IF(ISERROR(VLOOKUP($A50,'[1]liste reference'!$B$7:$D$906,1,0)),"code non répertorié ou synonyme",VLOOKUP($A50,'[1]liste reference'!$B$7:$D$906,1,0)),VLOOKUP(A50,'[1]liste reference'!$A$7:$D$906,2,0)))))</f>
        <v>Ranunculus peltatus</v>
      </c>
      <c r="L50" s="220"/>
      <c r="M50" s="220"/>
      <c r="N50" s="220"/>
      <c r="O50" s="205"/>
      <c r="P50" s="206" t="n">
        <f aca="false">IF(ISTEXT(H50),"",(B50*$B$7/100)+(C50*$C$7/100))</f>
        <v>2</v>
      </c>
      <c r="Q50" s="207" t="n">
        <f aca="false">IF(OR(ISTEXT(H50),P50=0),"",IF(P50&lt;0.1,1,IF(P50&lt;1,2,IF(P50&lt;10,3,IF(P50&lt;50,4,IF(P50&gt;=50,5,""))))))</f>
        <v>3</v>
      </c>
      <c r="R50" s="207" t="n">
        <f aca="false">IF(ISERROR(Q50*I50),0,Q50*I50)</f>
        <v>36</v>
      </c>
      <c r="S50" s="207" t="n">
        <f aca="false">IF(ISERROR(Q50*I50*J50),0,Q50*I50*J50)</f>
        <v>72</v>
      </c>
      <c r="T50" s="221" t="n">
        <f aca="false">IF(ISERROR(Q50*J50),0,Q50*J50)</f>
        <v>6</v>
      </c>
      <c r="U50" s="208" t="str">
        <f aca="false">IF(AND(A50="",F50=0),"",IF(F50=0,"Il manque le(s) % de rec. !",""))</f>
        <v/>
      </c>
      <c r="V50" s="209"/>
      <c r="X50" s="207" t="str">
        <f aca="false">IF(A50="new.cod","NEW.COD",IF(AND((Y50=""),ISTEXT(A50)),A50,IF(Y50="","",INDEX('[1]liste reference'!$A$7:$A$906,Y50))))</f>
        <v>RAN.PEL</v>
      </c>
      <c r="Y50" s="8" t="n">
        <f aca="false">IF(ISERROR(MATCH(A50,'[1]liste reference'!$A$7:$A$906,0)),IF(ISERROR(MATCH(A50,'[1]liste reference'!$B$7:$B$906,0)),"",(MATCH(A50,'[1]liste reference'!$B$7:$B$906,0))),(MATCH(A50,'[1]liste reference'!$A$7:$A$906,0)))</f>
        <v>464</v>
      </c>
      <c r="Z50" s="210"/>
      <c r="AA50" s="211"/>
      <c r="BB50" s="8" t="n">
        <f aca="false">IF(A50="","",1)</f>
        <v>1</v>
      </c>
    </row>
    <row r="51" customFormat="false" ht="12.75" hidden="false" customHeight="false" outlineLevel="0" collapsed="false">
      <c r="A51" s="212" t="s">
        <v>100</v>
      </c>
      <c r="B51" s="213"/>
      <c r="C51" s="214" t="n">
        <v>0.02</v>
      </c>
      <c r="D51" s="215" t="str">
        <f aca="false">IF(ISERROR(VLOOKUP($A51,'[1]liste reference'!$A$7:$D$906,2,0)),IF(ISERROR(VLOOKUP($A51,'[1]liste reference'!$B$7:$D$906,1,0)),"",VLOOKUP($A51,'[1]liste reference'!$B$7:$D$906,1,0)),VLOOKUP($A51,'[1]liste reference'!$A$7:$D$906,2,0))</f>
        <v>Ranunculus repens</v>
      </c>
      <c r="E51" s="215" t="e">
        <f aca="false">IF(D51="",0,VLOOKUP(D51,D$22:D50,1,0))</f>
        <v>#N/A</v>
      </c>
      <c r="F51" s="225" t="n">
        <f aca="false">($B51*$B$7+$C51*$C$7)/100</f>
        <v>0.005</v>
      </c>
      <c r="G51" s="217" t="str">
        <f aca="false">IF(A51="","",IF(ISERROR(VLOOKUP($A51,'[1]liste reference'!$A$7:$P$906,13,0)),IF(ISERROR(VLOOKUP($A51,'[1]liste reference'!$B$7:$P$906,12,0)),"    -",VLOOKUP($A51,'[1]liste reference'!$B$7:$P$906,12,0)),VLOOKUP($A51,'[1]liste reference'!$A$7:$P$906,13,0)))</f>
        <v>PHg</v>
      </c>
      <c r="H51" s="200" t="n">
        <f aca="false">IF(A51="","x",IF(ISERROR(VLOOKUP($A51,'[1]liste reference'!$A$7:$P$906,14,0)),IF(ISERROR(VLOOKUP($A51,'[1]liste reference'!$B$7:$P$906,13,0)),"x",VLOOKUP($A51,'[1]liste reference'!$B$7:$P$906,13,0)),VLOOKUP($A51,'[1]liste reference'!$A$7:$P$906,14,0)))</f>
        <v>9</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Ranunculus repens</v>
      </c>
      <c r="L51" s="220"/>
      <c r="M51" s="220"/>
      <c r="N51" s="220"/>
      <c r="O51" s="205"/>
      <c r="P51" s="206" t="n">
        <f aca="false">IF(ISTEXT(H51),"",(B51*$B$7/100)+(C51*$C$7/100))</f>
        <v>0.005</v>
      </c>
      <c r="Q51" s="207" t="n">
        <f aca="false">IF(OR(ISTEXT(H51),P51=0),"",IF(P51&lt;0.1,1,IF(P51&lt;1,2,IF(P51&lt;10,3,IF(P51&lt;50,4,IF(P51&gt;=50,5,""))))))</f>
        <v>1</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RAN.REP</v>
      </c>
      <c r="Y51" s="8" t="n">
        <f aca="false">IF(ISERROR(MATCH(A51,'[1]liste reference'!$A$7:$A$906,0)),IF(ISERROR(MATCH(A51,'[1]liste reference'!$B$7:$B$906,0)),"",(MATCH(A51,'[1]liste reference'!$B$7:$B$906,0))),(MATCH(A51,'[1]liste reference'!$A$7:$A$906,0)))</f>
        <v>810</v>
      </c>
      <c r="Z51" s="210"/>
      <c r="AA51" s="211"/>
      <c r="BB51" s="8" t="n">
        <f aca="false">IF(A51="","",1)</f>
        <v>1</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5"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05"/>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5"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05"/>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1"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5"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05"/>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1"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1" t="n">
        <f aca="false">IF(D82="",0,VLOOKUP(D82,D$20:D80,1,0))</f>
        <v>0</v>
      </c>
      <c r="F82" s="232" t="n">
        <f aca="false">($B82*$B$7+$C82*$C$7)/100</f>
        <v>0</v>
      </c>
      <c r="G82" s="233"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4" t="str">
        <f aca="false">IF(ISNUMBER(H82),IF(ISERROR(VLOOKUP($A82,'[1]liste reference'!$A$7:$P$906,3,0)),IF(ISERROR(VLOOKUP($A82,'[1]liste reference'!$B$7:$P$906,2,0)),"",VLOOKUP($A82,'[1]liste reference'!$B$7:$P$906,2,0)),VLOOKUP($A82,'[1]liste reference'!$A$7:$P$906,3,0)),"")</f>
        <v/>
      </c>
      <c r="J82" s="234" t="str">
        <f aca="false">IF(ISNUMBER(H82),IF(ISERROR(VLOOKUP($A82,'[1]liste reference'!$A$7:$P$906,4,0)),IF(ISERROR(VLOOKUP($A82,'[1]liste reference'!$B$7:$P$906,3,0)),"",VLOOKUP($A82,'[1]liste reference'!$B$7:$P$906,3,0)),VLOOKUP($A82,'[1]liste reference'!$A$7:$P$906,4,0)),"")</f>
        <v/>
      </c>
      <c r="K82" s="235" t="str">
        <f aca="false">IF(A82="NEW.COD",AA82,IF(ISTEXT($E82),"DEJA SAISI !",IF(A82="","",IF(ISERROR(VLOOKUP($A82,'[1]liste reference'!$A$7:$D$906,2,0)),IF(ISERROR(VLOOKUP($A82,'[1]liste reference'!$B$7:$D$906,1,0)),"code non répertorié ou synonyme",VLOOKUP($A82,'[1]liste reference'!$B$7:$D$906,1,0)),VLOOKUP(A82,'[1]liste reference'!$A$7:$D$906,2,0)))))</f>
        <v/>
      </c>
      <c r="L82" s="236"/>
      <c r="M82" s="236"/>
      <c r="N82" s="236"/>
      <c r="O82" s="237"/>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1" t="n">
        <f aca="false">IF(ISERROR(Q82*J82),0,Q82*J82)</f>
        <v>0</v>
      </c>
      <c r="U82" s="208" t="str">
        <f aca="false">IF(AND(A82="",F82=0),"",IF(F82=0,"Il manque le(s) % de rec. !",""))</f>
        <v/>
      </c>
      <c r="V82" s="238"/>
      <c r="W82" s="239"/>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5" hidden="true" customHeight="false" outlineLevel="0" collapsed="false">
      <c r="A83" s="240" t="s">
        <v>101</v>
      </c>
      <c r="B83" s="152"/>
      <c r="C83" s="152"/>
      <c r="D83" s="152"/>
      <c r="E83" s="152"/>
      <c r="F83" s="152"/>
      <c r="G83" s="152"/>
      <c r="H83" s="152"/>
      <c r="I83" s="152"/>
      <c r="J83" s="152"/>
      <c r="K83" s="152"/>
      <c r="L83" s="152"/>
      <c r="M83" s="207"/>
      <c r="N83" s="207"/>
      <c r="O83" s="241"/>
      <c r="P83" s="241"/>
      <c r="Q83" s="241"/>
      <c r="R83" s="241"/>
      <c r="S83" s="8"/>
      <c r="T83" s="8"/>
      <c r="U83" s="241"/>
      <c r="V83" s="241"/>
      <c r="W83" s="241"/>
      <c r="X83" s="242"/>
      <c r="Y83" s="242"/>
      <c r="Z83" s="242"/>
      <c r="AA83" s="243"/>
      <c r="AB83" s="243"/>
      <c r="AC83" s="243"/>
    </row>
    <row r="84" customFormat="false" ht="12.75" hidden="true" customHeight="false" outlineLevel="0" collapsed="false">
      <c r="A84" s="244" t="str">
        <f aca="false">A3</f>
        <v>ANCE DU NORD</v>
      </c>
      <c r="B84" s="245" t="str">
        <f aca="false">C3</f>
        <v>St Clément de Valorgue / aval pont de Raffiny</v>
      </c>
      <c r="C84" s="246" t="n">
        <f aca="false">A4</f>
        <v>39282</v>
      </c>
      <c r="D84" s="247" t="n">
        <f aca="false">IF(ISERROR(SUM($S$23:$S$82)/SUM($T$23:$T$82)),"",SUM($S$23:$S$82)/SUM($T$23:$T$82))</f>
        <v>13.5531914893617</v>
      </c>
      <c r="E84" s="248" t="n">
        <f aca="false">N13</f>
        <v>26</v>
      </c>
      <c r="F84" s="245" t="n">
        <f aca="false">N14</f>
        <v>20</v>
      </c>
      <c r="G84" s="245" t="n">
        <f aca="false">N15</f>
        <v>7</v>
      </c>
      <c r="H84" s="245" t="n">
        <f aca="false">N16</f>
        <v>9</v>
      </c>
      <c r="I84" s="245" t="n">
        <f aca="false">N17</f>
        <v>4</v>
      </c>
      <c r="J84" s="249" t="n">
        <f aca="false">N8</f>
        <v>12.85</v>
      </c>
      <c r="K84" s="247" t="n">
        <f aca="false">N9</f>
        <v>3.13343598189457</v>
      </c>
      <c r="L84" s="248" t="n">
        <f aca="false">N10</f>
        <v>5</v>
      </c>
      <c r="M84" s="248" t="n">
        <f aca="false">N11</f>
        <v>19</v>
      </c>
      <c r="N84" s="247" t="n">
        <f aca="false">O8</f>
        <v>1.85</v>
      </c>
      <c r="O84" s="247" t="n">
        <f aca="false">O9</f>
        <v>0.745159820370595</v>
      </c>
      <c r="P84" s="248" t="n">
        <f aca="false">O10</f>
        <v>1</v>
      </c>
      <c r="Q84" s="248" t="n">
        <f aca="false">O11</f>
        <v>3</v>
      </c>
      <c r="R84" s="250" t="n">
        <f aca="false">F21</f>
        <v>5.705</v>
      </c>
      <c r="S84" s="248" t="n">
        <f aca="false">K11</f>
        <v>0</v>
      </c>
      <c r="T84" s="248" t="n">
        <f aca="false">K12</f>
        <v>3</v>
      </c>
      <c r="U84" s="248" t="n">
        <f aca="false">K13</f>
        <v>9</v>
      </c>
      <c r="V84" s="251" t="n">
        <f aca="false">K14</f>
        <v>0</v>
      </c>
      <c r="W84" s="252" t="n">
        <f aca="false">K15</f>
        <v>12</v>
      </c>
      <c r="Y84" s="227"/>
      <c r="Z84" s="227"/>
      <c r="AA84" s="243"/>
      <c r="AB84" s="243"/>
      <c r="AC84" s="243"/>
    </row>
    <row r="85" customFormat="false" ht="12.75" hidden="true" customHeight="false" outlineLevel="0" collapsed="false">
      <c r="P85" s="8"/>
      <c r="Q85" s="8"/>
      <c r="R85" s="8"/>
      <c r="S85" s="8"/>
      <c r="T85" s="8"/>
      <c r="U85" s="8"/>
    </row>
    <row r="86" customFormat="false" ht="12.75" hidden="true" customHeight="false" outlineLevel="0" collapsed="false">
      <c r="P86" s="253" t="s">
        <v>102</v>
      </c>
      <c r="Q86" s="8"/>
      <c r="R86" s="208"/>
      <c r="S86" s="8"/>
      <c r="T86" s="8"/>
      <c r="U86" s="8"/>
    </row>
    <row r="87" customFormat="false" ht="12.75" hidden="true" customHeight="false" outlineLevel="0" collapsed="false">
      <c r="P87" s="8" t="s">
        <v>103</v>
      </c>
      <c r="Q87" s="8"/>
      <c r="R87" s="208" t="n">
        <f aca="false">VLOOKUP(MAX($R$23:$R$82),($R$23:$T$82),1,0)</f>
        <v>45</v>
      </c>
      <c r="S87" s="8"/>
      <c r="T87" s="8"/>
      <c r="U87" s="8"/>
    </row>
    <row r="88" customFormat="false" ht="12.75" hidden="true" customHeight="false" outlineLevel="0" collapsed="false">
      <c r="P88" s="8" t="s">
        <v>104</v>
      </c>
      <c r="Q88" s="8"/>
      <c r="R88" s="208" t="n">
        <f aca="false">VLOOKUP((R87),($R$23:$T$82),2,0)</f>
        <v>90</v>
      </c>
      <c r="S88" s="8"/>
      <c r="T88" s="8"/>
      <c r="U88" s="8"/>
    </row>
    <row r="89" customFormat="false" ht="12.75" hidden="true" customHeight="false" outlineLevel="0" collapsed="false">
      <c r="P89" s="8" t="s">
        <v>105</v>
      </c>
      <c r="Q89" s="8"/>
      <c r="R89" s="208" t="n">
        <f aca="false">VLOOKUP((R87),($R$23:$T$82),3,0)</f>
        <v>6</v>
      </c>
      <c r="S89" s="8"/>
    </row>
    <row r="90" customFormat="false" ht="12.75" hidden="true" customHeight="false" outlineLevel="0" collapsed="false">
      <c r="P90" s="8" t="s">
        <v>106</v>
      </c>
      <c r="Q90" s="8"/>
      <c r="R90" s="254" t="n">
        <f aca="false">IF(ISERROR(SUM($S$23:$S$82)/SUM($T$23:$T$82)),"",(SUM($S$23:$S$82)-R88)/(SUM($T$23:$T$82)-R89))</f>
        <v>13.3414634146341</v>
      </c>
      <c r="S90" s="8"/>
    </row>
    <row r="91" customFormat="false" ht="12.75" hidden="true" customHeight="false" outlineLevel="0" collapsed="false">
      <c r="P91" s="207" t="s">
        <v>107</v>
      </c>
      <c r="Q91" s="207"/>
      <c r="R91" s="207" t="str">
        <f aca="false">INDEX('[1]liste reference'!$A$7:$A$906,$S$91)</f>
        <v>CHI.POL</v>
      </c>
      <c r="S91" s="8" t="n">
        <f aca="false">IF(ISERROR(MATCH($R$93,'[1]liste reference'!$A$7:$A$906,0)),MATCH($R$93,'[1]liste reference'!$B$7:$B$906,0),(MATCH($R$93,'[1]liste reference'!$A$7:$A$906,0)))</f>
        <v>98</v>
      </c>
      <c r="T91" s="243"/>
    </row>
    <row r="92" customFormat="false" ht="12.75" hidden="true" customHeight="false" outlineLevel="0" collapsed="false">
      <c r="P92" s="8" t="s">
        <v>108</v>
      </c>
      <c r="Q92" s="8"/>
      <c r="R92" s="8" t="n">
        <f aca="false">MATCH(R87,$R$23:$R$82,0)</f>
        <v>10</v>
      </c>
      <c r="S92" s="8"/>
    </row>
    <row r="93" customFormat="false" ht="12.75" hidden="true" customHeight="false" outlineLevel="0" collapsed="false">
      <c r="P93" s="207" t="s">
        <v>109</v>
      </c>
      <c r="Q93" s="8"/>
      <c r="R93" s="207" t="str">
        <f aca="false">INDEX($A$23:$A$82,$R$92)</f>
        <v>CHI.POL</v>
      </c>
      <c r="S93" s="8"/>
    </row>
    <row r="94" customFormat="false" ht="12.75" hidden="false" customHeight="false" outlineLevel="0" collapsed="false">
      <c r="R94" s="243"/>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0</formula1>
      <formula2>0</formula2>
    </dataValidation>
    <dataValidation allowBlank="true" error="sélectionner un des types de faciès de la liste." errorStyle="warning" errorTitle="ATTENTION :" operator="between" showDropDown="false" showErrorMessage="true" showInputMessage="false" sqref="B6" type="list">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Roman,Normal"&amp;12&amp;A</oddHeader>
    <oddFooter>&amp;C&amp;"Times New Roman,Normal"&amp;12Page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LibreOffice/7.3.7.2$Linux_X86_64 LibreOffice_project/30$Build-2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2024-01-10T10:02:52Z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