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3900" sheetId="1" state="visible" r:id="rId3"/>
  </sheets>
  <definedNames>
    <definedName function="false" hidden="false" localSheetId="0" name="_xlnm.Print_Area" vbProcedure="false">'04003900'!$A$1:$Q$82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<sst xmlns="http://schemas.openxmlformats.org/spreadsheetml/2006/main" count="170" uniqueCount="106">
  <si>
    <t xml:space="preserve">Relevés floristiques aquatiques - IBMR</t>
  </si>
  <si>
    <t xml:space="preserve">AQUABIO</t>
  </si>
  <si>
    <t xml:space="preserve">Laetitia BLANCHARD, Nicolas CONDUCHE</t>
  </si>
  <si>
    <t xml:space="preserve">l'Ance</t>
  </si>
  <si>
    <t xml:space="preserve">ANCE DU NORD À BEAUZAC</t>
  </si>
  <si>
    <t xml:space="preserve">04003900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</si>
  <si>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</si>
  <si>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</si>
  <si>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</si>
  <si>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</si>
  <si>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</si>
  <si>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</si>
  <si>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</si>
  <si>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</si>
  <si>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</si>
  <si>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PHOSPX</t>
  </si>
  <si>
    <t xml:space="preserve">Faciès dominant</t>
  </si>
  <si>
    <t xml:space="preserve">radier</t>
  </si>
  <si>
    <t xml:space="preserve">pl. courant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</si>
  <si>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</si>
  <si>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</si>
  <si>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</si>
  <si>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</si>
  <si>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</si>
  <si>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</si>
  <si>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</si>
  <si>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</si>
  <si>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</si>
  <si>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</si>
  <si>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</si>
  <si>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</si>
  <si>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</si>
  <si>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</si>
  <si>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</si>
  <si>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</si>
  <si>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</si>
  <si>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</si>
  <si>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</si>
  <si>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</si>
  <si>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</si>
  <si>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</si>
  <si>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</si>
  <si>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</si>
  <si>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</si>
  <si>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</si>
  <si>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</si>
  <si>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</si>
  <si>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</si>
  <si>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</si>
  <si>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</si>
  <si>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</si>
  <si>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</si>
  <si>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</si>
  <si>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</si>
  <si>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</si>
  <si>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</si>
  <si>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</si>
  <si>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</si>
  <si>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</si>
  <si>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</si>
  <si>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</si>
  <si>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</si>
  <si>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</si>
  <si>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</si>
  <si>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</si>
  <si>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</si>
  <si>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</si>
  <si>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</si>
  <si>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</si>
  <si>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</si>
  <si>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</si>
  <si>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</si>
  <si>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</si>
  <si>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</si>
  <si>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</si>
  <si>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</si>
  <si>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</si>
  <si>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VAUSPX</t>
  </si>
  <si>
    <t xml:space="preserve"> -</t>
  </si>
  <si>
    <t xml:space="preserve">LEORIP</t>
  </si>
  <si>
    <t xml:space="preserve">CLASPX</t>
  </si>
  <si>
    <t xml:space="preserve">OEDSPX</t>
  </si>
  <si>
    <t xml:space="preserve">FONANT</t>
  </si>
  <si>
    <t xml:space="preserve">MELSPX</t>
  </si>
  <si>
    <t xml:space="preserve">PHAARU</t>
  </si>
  <si>
    <t xml:space="preserve">SPISPX</t>
  </si>
  <si>
    <t xml:space="preserve">HYAFLU</t>
  </si>
  <si>
    <t xml:space="preserve">OSCSPX</t>
  </si>
  <si>
    <t xml:space="preserve">FISCRA</t>
  </si>
  <si>
    <t xml:space="preserve">MENAQU</t>
  </si>
  <si>
    <t xml:space="preserve">cf.</t>
  </si>
  <si>
    <t xml:space="preserve">RANPEU</t>
  </si>
  <si>
    <t xml:space="preserve">RHYRIP</t>
  </si>
  <si>
    <t xml:space="preserve">AUDSPX</t>
  </si>
  <si>
    <t xml:space="preserve">HILSPX</t>
  </si>
  <si>
    <t xml:space="preserve">BATSPX</t>
  </si>
  <si>
    <t xml:space="preserve">FONSQU</t>
  </si>
  <si>
    <t xml:space="preserve">PAASPX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</si>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</sst>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42936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11.8205128205128</v>
      </c>
      <c r="N5" s="48"/>
      <c r="O5" s="49" t="s">
        <v>15</v>
      </c>
      <c r="P5" s="50" t="n">
        <v>11.6060606060606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2</v>
      </c>
      <c r="P6" s="62" t="s">
        <v>20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21</v>
      </c>
      <c r="B7" s="65" t="n">
        <v>76</v>
      </c>
      <c r="C7" s="66" t="n">
        <v>24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22</v>
      </c>
      <c r="P7" s="75" t="s">
        <v>23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24</v>
      </c>
      <c r="B8" s="40"/>
      <c r="C8" s="40"/>
      <c r="D8" s="54"/>
      <c r="E8" s="54"/>
      <c r="F8" s="77" t="s">
        <v>25</v>
      </c>
      <c r="G8" s="78"/>
      <c r="H8" s="54"/>
      <c r="I8" s="6"/>
      <c r="J8" s="69"/>
      <c r="K8" s="70"/>
      <c r="L8" s="71"/>
      <c r="M8" s="72"/>
      <c r="N8" s="79" t="s">
        <v>26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27</v>
      </c>
      <c r="B9" s="65" t="n">
        <v>9.39999961853027</v>
      </c>
      <c r="C9" s="66" t="n">
        <v>8.10000038146973</v>
      </c>
      <c r="D9" s="82"/>
      <c r="E9" s="82"/>
      <c r="F9" s="83" t="n">
        <f aca="false">($B9*$B$7+$C9*$C$7)/100</f>
        <v>9.08799980163574</v>
      </c>
      <c r="G9" s="84"/>
      <c r="H9" s="41"/>
      <c r="I9" s="6"/>
      <c r="J9" s="85"/>
      <c r="K9" s="86"/>
      <c r="L9" s="71"/>
      <c r="M9" s="87"/>
      <c r="N9" s="79" t="s">
        <v>28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29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30</v>
      </c>
      <c r="L10" s="92"/>
      <c r="M10" s="93"/>
      <c r="N10" s="79" t="s">
        <v>31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32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33</v>
      </c>
      <c r="K11" s="101"/>
      <c r="L11" s="102" t="n">
        <f aca="false">COUNTIF($G$23:$G$82,"=HET")</f>
        <v>0</v>
      </c>
      <c r="M11" s="103"/>
      <c r="N11" s="79" t="s">
        <v>34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35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36</v>
      </c>
      <c r="K12" s="101"/>
      <c r="L12" s="102" t="n">
        <f aca="false">COUNTIF($G$23:$G$82,"=ALG")</f>
        <v>0</v>
      </c>
      <c r="M12" s="103"/>
      <c r="N12" s="107"/>
      <c r="O12" s="108" t="s">
        <v>30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37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38</v>
      </c>
      <c r="K13" s="101"/>
      <c r="L13" s="102" t="n">
        <f aca="false">COUNTIF($G$23:$G$82,"=BRm")+COUNTIF($G$23:$G$82,"=BRh")</f>
        <v>0</v>
      </c>
      <c r="M13" s="103"/>
      <c r="N13" s="111" t="s">
        <v>39</v>
      </c>
      <c r="O13" s="112" t="n">
        <f aca="false">COUNTIF(F23:F82,"&gt;0")</f>
        <v>20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40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41</v>
      </c>
      <c r="K14" s="101"/>
      <c r="L14" s="102" t="n">
        <f aca="false">COUNTIF($G$23:$G$82,"=PTE")+COUNTIF($G$23:$G$82,"=LIC")</f>
        <v>0</v>
      </c>
      <c r="M14" s="103"/>
      <c r="N14" s="114" t="s">
        <v>42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43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44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45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46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47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48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49</v>
      </c>
      <c r="M17" s="129" t="n">
        <f aca="false">IF(ISERROR((O13-(COUNTIF(J23:J82,"nc")))/O13),"-",(O13-(COUNTIF(J23:J82,"nc")))/O13)</f>
        <v>1</v>
      </c>
      <c r="N17" s="111" t="s">
        <v>50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51</v>
      </c>
      <c r="B18" s="132"/>
      <c r="C18" s="133"/>
      <c r="D18" s="82"/>
      <c r="E18" s="134" t="s">
        <v>52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53</v>
      </c>
      <c r="B20" s="154" t="n">
        <f aca="false">SUM(B23:B82)</f>
        <v>9.54000000096858</v>
      </c>
      <c r="C20" s="155" t="n">
        <f aca="false">SUM(C23:C82)</f>
        <v>8.17285710573196</v>
      </c>
      <c r="D20" s="156"/>
      <c r="E20" s="157" t="s">
        <v>52</v>
      </c>
      <c r="F20" s="158" t="n">
        <f aca="false">($B20*$B$7+$C20*$C$7)/100</f>
        <v>9.21188570611179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54</v>
      </c>
      <c r="B21" s="166" t="n">
        <f aca="false">B20*B7/100</f>
        <v>7.25040000073612</v>
      </c>
      <c r="C21" s="166" t="n">
        <f aca="false">C20*C7/100</f>
        <v>1.96148570537567</v>
      </c>
      <c r="D21" s="167" t="s">
        <v>55</v>
      </c>
      <c r="E21" s="168"/>
      <c r="F21" s="169" t="n">
        <f aca="false">B21+C21</f>
        <v>9.21188570611179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56</v>
      </c>
    </row>
    <row r="22" customFormat="false" ht="12.75" hidden="false" customHeight="false" outlineLevel="0" collapsed="false">
      <c r="A22" s="178" t="s">
        <v>57</v>
      </c>
      <c r="B22" s="179" t="s">
        <v>58</v>
      </c>
      <c r="C22" s="179" t="s">
        <v>58</v>
      </c>
      <c r="D22" s="180"/>
      <c r="E22" s="181"/>
      <c r="F22" s="182" t="s">
        <v>59</v>
      </c>
      <c r="G22" s="183" t="s">
        <v>60</v>
      </c>
      <c r="H22" s="82" t="s">
        <v>61</v>
      </c>
      <c r="I22" s="6" t="s">
        <v>62</v>
      </c>
      <c r="J22" s="184" t="s">
        <v>63</v>
      </c>
      <c r="K22" s="184" t="s">
        <v>64</v>
      </c>
      <c r="L22" s="185" t="s">
        <v>65</v>
      </c>
      <c r="M22" s="185"/>
      <c r="N22" s="185"/>
      <c r="O22" s="185"/>
      <c r="P22" s="177" t="s">
        <v>66</v>
      </c>
      <c r="Q22" s="186" t="s">
        <v>67</v>
      </c>
      <c r="R22" s="187" t="s">
        <v>68</v>
      </c>
      <c r="S22" s="188" t="s">
        <v>69</v>
      </c>
      <c r="T22" s="189" t="s">
        <v>70</v>
      </c>
      <c r="U22" s="189" t="s">
        <v>71</v>
      </c>
      <c r="V22" s="190" t="s">
        <v>72</v>
      </c>
      <c r="W22" s="191" t="s">
        <v>73</v>
      </c>
      <c r="X22" s="191" t="s">
        <v>74</v>
      </c>
      <c r="Y22" s="192" t="s">
        <v>75</v>
      </c>
      <c r="Z22" s="192" t="s">
        <v>76</v>
      </c>
    </row>
    <row r="23" customFormat="false" ht="12.75" hidden="false" customHeight="false" outlineLevel="0" collapsed="false">
      <c r="A23" s="193" t="s">
        <v>77</v>
      </c>
      <c r="B23" s="194" t="n">
        <v>0.00999999977648258</v>
      </c>
      <c r="C23" s="195" t="n">
        <v>0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0.00759999983012676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78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VAUSPX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79</v>
      </c>
      <c r="B24" s="211" t="n">
        <v>0.100000001490116</v>
      </c>
      <c r="C24" s="212" t="n">
        <v>0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0.0760000011324883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78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LEORIP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80</v>
      </c>
      <c r="B25" s="211" t="n">
        <v>0.00999999977648258</v>
      </c>
      <c r="C25" s="212" t="n">
        <v>0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0.00759999983012676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78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CLASPX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81</v>
      </c>
      <c r="B26" s="211" t="n">
        <v>0.00999999977648258</v>
      </c>
      <c r="C26" s="212" t="n">
        <v>0.0128570999950171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0.0106857038289309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78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OEDSPX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82</v>
      </c>
      <c r="B27" s="211" t="n">
        <v>0.00999999977648258</v>
      </c>
      <c r="C27" s="212" t="n">
        <v>0.100000001490116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0.0316000001877546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78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FONANT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83</v>
      </c>
      <c r="B28" s="211" t="n">
        <v>0.00999999977648258</v>
      </c>
      <c r="C28" s="212" t="n">
        <v>0.209999993443489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0.0579999982565641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78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MELSPX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84</v>
      </c>
      <c r="B29" s="211" t="n">
        <v>0</v>
      </c>
      <c r="C29" s="212" t="n">
        <v>0.00999999977648258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0.00239999994635582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78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PHAARU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85</v>
      </c>
      <c r="B30" s="211" t="n">
        <v>0.00999999977648258</v>
      </c>
      <c r="C30" s="212" t="n">
        <v>0.00999999977648258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0.00999999977648258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78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SPISPX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86</v>
      </c>
      <c r="B31" s="211" t="n">
        <v>0.00999999977648258</v>
      </c>
      <c r="C31" s="212" t="n">
        <v>0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0.00759999983012676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78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HYAFLU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87</v>
      </c>
      <c r="B32" s="211" t="n">
        <v>3</v>
      </c>
      <c r="C32" s="212" t="n">
        <v>1.875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2.73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78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OSCSPX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88</v>
      </c>
      <c r="B33" s="211" t="n">
        <v>0.0199999995529652</v>
      </c>
      <c r="C33" s="212" t="n">
        <v>0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0.0151999996602535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78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FISCRA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89</v>
      </c>
      <c r="B34" s="211" t="n">
        <v>0</v>
      </c>
      <c r="C34" s="212" t="n">
        <v>0.00999999977648258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0.00239999994635582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90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MENAQU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91</v>
      </c>
      <c r="B35" s="211" t="n">
        <v>0.00999999977648258</v>
      </c>
      <c r="C35" s="212" t="n">
        <v>0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0.00759999983012676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78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RANPEU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92</v>
      </c>
      <c r="B36" s="211" t="n">
        <v>0.5</v>
      </c>
      <c r="C36" s="212" t="n">
        <v>1.5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0.74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19"/>
      <c r="N36" s="219"/>
      <c r="O36" s="219"/>
      <c r="P36" s="220" t="s">
        <v>78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RHYRIP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 t="s">
        <v>93</v>
      </c>
      <c r="B37" s="211" t="n">
        <v>0.00999999977648258</v>
      </c>
      <c r="C37" s="212" t="n">
        <v>0.00999999977648258</v>
      </c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n">
        <f aca="false">IF(AND(OR(A37="",A37="!!!!!!"),B37="",C37=""),"",IF(OR(AND(B37="",C37=""),ISERROR(C37+B37)),"!!!",($B37*$B$7+$C37*$C$7)/100))</f>
        <v>0.00999999977648258</v>
      </c>
      <c r="G37" s="216" t="str">
        <f aca="false">IF(A37="","",IF(ISERROR(VLOOKUP($A37,,9,0)),IF(ISERROR(VLOOKUP($A37,,8,0)),"    -",VLOOKUP($A37,,8,0)),VLOOKUP($A37,,9,0)))</f>
        <v>    -</v>
      </c>
      <c r="H37" s="217" t="str">
        <f aca="false">IF(A37="","x",IF(ISERROR(VLOOKUP($A37,,10,0)),IF(ISERROR(VLOOKUP($A37,,9,0)),"x",VLOOKUP($A37,,9,0)),VLOOKUP($A37,,10,0)))</f>
        <v>x</v>
      </c>
      <c r="I37" s="6" t="n">
        <f aca="false">IF(A37="","",1)</f>
        <v>1</v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>non répertorié ou synonyme. Vérifiez !</v>
      </c>
      <c r="M37" s="219"/>
      <c r="N37" s="219"/>
      <c r="O37" s="219"/>
      <c r="P37" s="220" t="s">
        <v>78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>AUDSPX</v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 t="s">
        <v>15</v>
      </c>
      <c r="B38" s="211" t="n">
        <v>5</v>
      </c>
      <c r="C38" s="212" t="n">
        <v>3.125</v>
      </c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n">
        <f aca="false">IF(AND(OR(A38="",A38="!!!!!!"),B38="",C38=""),"",IF(OR(AND(B38="",C38=""),ISERROR(C38+B38)),"!!!",($B38*$B$7+$C38*$C$7)/100))</f>
        <v>4.55</v>
      </c>
      <c r="G38" s="216" t="str">
        <f aca="false">IF(A38="","",IF(ISERROR(VLOOKUP($A38,,9,0)),IF(ISERROR(VLOOKUP($A38,,8,0)),"    -",VLOOKUP($A38,,8,0)),VLOOKUP($A38,,9,0)))</f>
        <v>    -</v>
      </c>
      <c r="H38" s="217" t="str">
        <f aca="false">IF(A38="","x",IF(ISERROR(VLOOKUP($A38,,10,0)),IF(ISERROR(VLOOKUP($A38,,9,0)),"x",VLOOKUP($A38,,9,0)),VLOOKUP($A38,,10,0)))</f>
        <v>x</v>
      </c>
      <c r="I38" s="6" t="n">
        <f aca="false">IF(A38="","",1)</f>
        <v>1</v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>non répertorié ou synonyme. Vérifiez !</v>
      </c>
      <c r="M38" s="219"/>
      <c r="N38" s="219"/>
      <c r="O38" s="219"/>
      <c r="P38" s="220" t="s">
        <v>78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>PHOSPX</v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 t="s">
        <v>94</v>
      </c>
      <c r="B39" s="211" t="n">
        <v>0.00999999977648258</v>
      </c>
      <c r="C39" s="212" t="n">
        <v>0.00999999977648258</v>
      </c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n">
        <f aca="false">IF(AND(OR(A39="",A39="!!!!!!"),B39="",C39=""),"",IF(OR(AND(B39="",C39=""),ISERROR(C39+B39)),"!!!",($B39*$B$7+$C39*$C$7)/100))</f>
        <v>0.00999999977648258</v>
      </c>
      <c r="G39" s="216" t="str">
        <f aca="false">IF(A39="","",IF(ISERROR(VLOOKUP($A39,,9,0)),IF(ISERROR(VLOOKUP($A39,,8,0)),"    -",VLOOKUP($A39,,8,0)),VLOOKUP($A39,,9,0)))</f>
        <v>    -</v>
      </c>
      <c r="H39" s="217" t="str">
        <f aca="false">IF(A39="","x",IF(ISERROR(VLOOKUP($A39,,10,0)),IF(ISERROR(VLOOKUP($A39,,9,0)),"x",VLOOKUP($A39,,9,0)),VLOOKUP($A39,,10,0)))</f>
        <v>x</v>
      </c>
      <c r="I39" s="6" t="n">
        <f aca="false">IF(A39="","",1)</f>
        <v>1</v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>non répertorié ou synonyme. Vérifiez !</v>
      </c>
      <c r="M39" s="219"/>
      <c r="N39" s="219"/>
      <c r="O39" s="219"/>
      <c r="P39" s="220" t="s">
        <v>78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>HILSPX</v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 t="s">
        <v>95</v>
      </c>
      <c r="B40" s="211" t="n">
        <v>0.00999999977648258</v>
      </c>
      <c r="C40" s="212" t="n">
        <v>0</v>
      </c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n">
        <f aca="false">IF(AND(OR(A40="",A40="!!!!!!"),B40="",C40=""),"",IF(OR(AND(B40="",C40=""),ISERROR(C40+B40)),"!!!",($B40*$B$7+$C40*$C$7)/100))</f>
        <v>0.00759999983012676</v>
      </c>
      <c r="G40" s="216" t="str">
        <f aca="false">IF(A40="","",IF(ISERROR(VLOOKUP($A40,,9,0)),IF(ISERROR(VLOOKUP($A40,,8,0)),"    -",VLOOKUP($A40,,8,0)),VLOOKUP($A40,,9,0)))</f>
        <v>    -</v>
      </c>
      <c r="H40" s="217" t="str">
        <f aca="false">IF(A40="","x",IF(ISERROR(VLOOKUP($A40,,10,0)),IF(ISERROR(VLOOKUP($A40,,9,0)),"x",VLOOKUP($A40,,9,0)),VLOOKUP($A40,,10,0)))</f>
        <v>x</v>
      </c>
      <c r="I40" s="6" t="n">
        <f aca="false">IF(A40="","",1)</f>
        <v>1</v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>non répertorié ou synonyme. Vérifiez !</v>
      </c>
      <c r="M40" s="219"/>
      <c r="N40" s="219"/>
      <c r="O40" s="219"/>
      <c r="P40" s="220" t="s">
        <v>78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>BATSPX</v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 t="s">
        <v>96</v>
      </c>
      <c r="B41" s="211" t="n">
        <v>0.300000011920929</v>
      </c>
      <c r="C41" s="212" t="n">
        <v>0.5</v>
      </c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n">
        <f aca="false">IF(AND(OR(A41="",A41="!!!!!!"),B41="",C41=""),"",IF(OR(AND(B41="",C41=""),ISERROR(C41+B41)),"!!!",($B41*$B$7+$C41*$C$7)/100))</f>
        <v>0.348000009059906</v>
      </c>
      <c r="G41" s="216" t="str">
        <f aca="false">IF(A41="","",IF(ISERROR(VLOOKUP($A41,,9,0)),IF(ISERROR(VLOOKUP($A41,,8,0)),"    -",VLOOKUP($A41,,8,0)),VLOOKUP($A41,,9,0)))</f>
        <v>    -</v>
      </c>
      <c r="H41" s="217" t="str">
        <f aca="false">IF(A41="","x",IF(ISERROR(VLOOKUP($A41,,10,0)),IF(ISERROR(VLOOKUP($A41,,9,0)),"x",VLOOKUP($A41,,9,0)),VLOOKUP($A41,,10,0)))</f>
        <v>x</v>
      </c>
      <c r="I41" s="6" t="n">
        <f aca="false">IF(A41="","",1)</f>
        <v>1</v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>non répertorié ou synonyme. Vérifiez !</v>
      </c>
      <c r="M41" s="219"/>
      <c r="N41" s="219"/>
      <c r="O41" s="219"/>
      <c r="P41" s="220" t="s">
        <v>78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>FONSQU</v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 t="s">
        <v>97</v>
      </c>
      <c r="B42" s="211" t="n">
        <v>0.509999990463257</v>
      </c>
      <c r="C42" s="212" t="n">
        <v>0.800000011920929</v>
      </c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n">
        <f aca="false">IF(AND(OR(A42="",A42="!!!!!!"),B42="",C42=""),"",IF(OR(AND(B42="",C42=""),ISERROR(C42+B42)),"!!!",($B42*$B$7+$C42*$C$7)/100))</f>
        <v>0.579599995613098</v>
      </c>
      <c r="G42" s="216" t="str">
        <f aca="false">IF(A42="","",IF(ISERROR(VLOOKUP($A42,,9,0)),IF(ISERROR(VLOOKUP($A42,,8,0)),"    -",VLOOKUP($A42,,8,0)),VLOOKUP($A42,,9,0)))</f>
        <v>    -</v>
      </c>
      <c r="H42" s="217" t="str">
        <f aca="false">IF(A42="","x",IF(ISERROR(VLOOKUP($A42,,10,0)),IF(ISERROR(VLOOKUP($A42,,9,0)),"x",VLOOKUP($A42,,9,0)),VLOOKUP($A42,,10,0)))</f>
        <v>x</v>
      </c>
      <c r="I42" s="6" t="n">
        <f aca="false">IF(A42="","",1)</f>
        <v>1</v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>non répertorié ou synonyme. Vérifiez !</v>
      </c>
      <c r="M42" s="219"/>
      <c r="N42" s="219"/>
      <c r="O42" s="219"/>
      <c r="P42" s="220" t="s">
        <v>78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>PAASPX</v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78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78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78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78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78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78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78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78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78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78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78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78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78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78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78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78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78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78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78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78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78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78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78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78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78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78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78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78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78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78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78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78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78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78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78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78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78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78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78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78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9.21188570611179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l'Ance</v>
      </c>
      <c r="B84" s="175" t="str">
        <f aca="false">C3</f>
        <v>ANCE DU NORD À BEAUZAC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20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9.21188570611179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98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99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100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101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102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103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104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105</v>
      </c>
      <c r="S93" s="6"/>
      <c r="T93" s="207" t="str">
        <f aca="false">INDEX($A$23:$A$82,$T$92)</f>
        <v>VAUSPX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2024-06-19T17:14:44Z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