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I Mal" sheetId="1" state="visible" r:id="rId2"/>
  </sheets>
  <externalReferences>
    <externalReference r:id="rId3"/>
  </externalReferences>
  <definedNames>
    <definedName function="false" hidden="false" localSheetId="0" name="Excel_BuiltIn_Print_Area" vbProcedure="false">'LOI Mal'!$A$1:$O$82</definedName>
    <definedName function="false" hidden="false" localSheetId="0" name="Excel_BuiltIn__FilterDatabase" vbProcedure="false">'LOI Mal'!$A$23:$J$84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<sst xmlns="http://schemas.openxmlformats.org/spreadsheetml/2006/main" count="115" uniqueCount="110">
  <si>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</si>
  <si>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</si>
  <si>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</si>
  <si>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</si>
  <si>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</si>
  <si>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LOIRE</t>
  </si>
  <si>
    <t xml:space="preserve">Malvalette/Aubaignes</t>
  </si>
  <si>
    <t xml:space="preserve">04004100</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</si>
  <si>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</si>
  <si>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</si>
  <si>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</si>
  <si>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</si>
  <si>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</si>
  <si>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</si>
  <si>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</si>
  <si>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</si>
  <si>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</si>
  <si>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</si>
  <si>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</si>
  <si>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</si>
  <si>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</si>
  <si>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</si>
  <si>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</si>
  <si>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</si>
  <si>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</si>
  <si>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</si>
  <si>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</si>
  <si>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</si>
  <si>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</si>
  <si>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</si>
  <si>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</si>
  <si>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</si>
  <si>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</si>
  <si>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</si>
  <si>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</si>
  <si>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</si>
  <si>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</si>
  <si>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</si>
  <si>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</si>
  <si>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</si>
  <si>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</si>
  <si>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</si>
  <si>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</si>
  <si>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</si>
  <si>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</si>
  <si>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</si>
  <si>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</si>
  <si>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</si>
  <si>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</si>
  <si>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</si>
  <si>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</si>
  <si>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</si>
  <si>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</si>
  <si>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</si>
  <si>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</si>
  <si>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</si>
  <si>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</si>
  <si>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</si>
  <si>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</si>
  <si>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</si>
  <si>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</si>
  <si>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</si>
  <si>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</si>
  <si>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</si>
  <si>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</si>
  <si>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</si>
  <si>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</si>
  <si>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</si>
  <si>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</si>
  <si>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</si>
  <si>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</si>
  <si>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</si>
  <si>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</si>
  <si>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HIL.SPX</t>
  </si>
  <si>
    <t xml:space="preserve">LEA.SPX</t>
  </si>
  <si>
    <t xml:space="preserve">MEL.SPX</t>
  </si>
  <si>
    <t xml:space="preserve">NEW.COD</t>
  </si>
  <si>
    <t xml:space="preserve">Gomphoneis sp.</t>
  </si>
  <si>
    <t xml:space="preserve">Plectonema wollei</t>
  </si>
  <si>
    <t xml:space="preserve">OED.SPX</t>
  </si>
  <si>
    <t xml:space="preserve">OSC.SPX</t>
  </si>
  <si>
    <t xml:space="preserve">PHO.SPX</t>
  </si>
  <si>
    <t xml:space="preserve">RHI.SPX</t>
  </si>
  <si>
    <t xml:space="preserve">SPI.SPX</t>
  </si>
  <si>
    <t xml:space="preserve">STI.SPX</t>
  </si>
  <si>
    <t xml:space="preserve">AMB.FLU</t>
  </si>
  <si>
    <t xml:space="preserve">AMB.RIP</t>
  </si>
  <si>
    <t xml:space="preserve">FIS.CRA</t>
  </si>
  <si>
    <t xml:space="preserve">FON.ANT</t>
  </si>
  <si>
    <t xml:space="preserve">FON.SQU</t>
  </si>
  <si>
    <t xml:space="preserve">RHY.RIP</t>
  </si>
  <si>
    <t xml:space="preserve">AGR.STO</t>
  </si>
  <si>
    <t xml:space="preserve">CAR.SPX</t>
  </si>
  <si>
    <t xml:space="preserve">MYR.SPI</t>
  </si>
  <si>
    <t xml:space="preserve">PHA.ARU</t>
  </si>
  <si>
    <t xml:space="preserve">POL.SPX</t>
  </si>
  <si>
    <t xml:space="preserve">RAN.PEN</t>
  </si>
  <si>
    <t xml:space="preserve">Cf.</t>
  </si>
  <si>
    <t xml:space="preserve">SCI.SYL</t>
  </si>
  <si>
    <t xml:space="preserve">TYP.LAT</t>
  </si>
  <si>
    <t xml:space="preserve">VER.BEC</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</si>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</sst>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ND andelat"/>
      <sheetName val="AND StG"/>
      <sheetName val="LIG Tence"/>
      <sheetName val="LIG ST-M"/>
      <sheetName val="LIT"/>
      <sheetName val="LOI StE"/>
      <sheetName val="LOI Coubon"/>
      <sheetName val="LOI StV"/>
      <sheetName val="LOI Mal"/>
      <sheetName val="OEIL"/>
      <sheetName val="QUE"/>
      <sheetName val="RHUE"/>
      <sheetName val="ROU"/>
      <sheetName val="RuiETR"/>
      <sheetName val="SIO Montfermy"/>
      <sheetName val="SIO Lisseuil"/>
      <sheetName val="SIO Contigny"/>
      <sheetName val="SI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39342</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10.536231884058</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70</v>
      </c>
      <c r="C7" s="65" t="n">
        <v>30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10.375</v>
      </c>
      <c r="O8" s="82" t="n">
        <f aca="false">AVERAGE(J23:J82)</f>
        <v>1.58333333333333</v>
      </c>
      <c r="P8" s="8"/>
      <c r="Q8" s="8"/>
      <c r="R8" s="8"/>
      <c r="S8" s="8"/>
      <c r="T8" s="8"/>
      <c r="U8" s="8"/>
      <c r="V8" s="20"/>
      <c r="W8" s="21"/>
    </row>
    <row r="9" customFormat="false" ht="13.5" hidden="false" customHeight="false" outlineLevel="0" collapsed="false">
      <c r="A9" s="83" t="s">
        <v>25</v>
      </c>
      <c r="B9" s="84" t="n">
        <v>22</v>
      </c>
      <c r="C9" s="85" t="n">
        <v>29</v>
      </c>
      <c r="D9" s="86"/>
      <c r="E9" s="86"/>
      <c r="F9" s="87" t="n">
        <f aca="false">($B9*$B$7+$C9*$C$7)/100</f>
        <v>24.1</v>
      </c>
      <c r="G9" s="88"/>
      <c r="H9" s="89"/>
      <c r="I9" s="90"/>
      <c r="J9" s="91"/>
      <c r="K9" s="71"/>
      <c r="L9" s="92"/>
      <c r="M9" s="80" t="s">
        <v>26</v>
      </c>
      <c r="N9" s="81" t="n">
        <f aca="false">STDEV(I23:I82)</f>
        <v>3.09013155763282</v>
      </c>
      <c r="O9" s="82" t="n">
        <f aca="false">STDEV(J23:J82)</f>
        <v>0.583592075121765</v>
      </c>
      <c r="P9" s="8"/>
      <c r="Q9" s="8"/>
      <c r="R9" s="8"/>
      <c r="S9" s="8"/>
      <c r="T9" s="8"/>
      <c r="U9" s="8"/>
      <c r="V9" s="93"/>
      <c r="W9" s="94"/>
    </row>
    <row r="10" customFormat="false" ht="13.5" hidden="false" customHeight="false" outlineLevel="0" collapsed="false">
      <c r="A10" s="95" t="s">
        <v>27</v>
      </c>
      <c r="B10" s="96" t="n">
        <v>1.8</v>
      </c>
      <c r="C10" s="97" t="n">
        <v>1.15</v>
      </c>
      <c r="D10" s="98"/>
      <c r="E10" s="98"/>
      <c r="F10" s="87" t="n">
        <f aca="false">($B10*$B$7+$C10*$C$7)/100</f>
        <v>1.605</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t="n">
        <v>10.5</v>
      </c>
      <c r="C12" s="117" t="n">
        <v>17</v>
      </c>
      <c r="D12" s="109"/>
      <c r="E12" s="109"/>
      <c r="F12" s="110" t="n">
        <f aca="false">($B12*$B$7+$C12*$C$7)/100</f>
        <v>12.45</v>
      </c>
      <c r="G12" s="118"/>
      <c r="H12" s="66"/>
      <c r="I12" s="119" t="s">
        <v>34</v>
      </c>
      <c r="J12" s="119"/>
      <c r="K12" s="113" t="n">
        <f aca="false">COUNTIF($G$23:$G$82,"=ALG")</f>
        <v>11</v>
      </c>
      <c r="L12" s="120"/>
      <c r="M12" s="121"/>
      <c r="N12" s="122" t="s">
        <v>28</v>
      </c>
      <c r="O12" s="123"/>
      <c r="P12" s="8"/>
      <c r="Q12" s="8"/>
      <c r="R12" s="8"/>
      <c r="S12" s="8"/>
      <c r="T12" s="8"/>
      <c r="U12" s="8"/>
    </row>
    <row r="13" customFormat="false" ht="12.75" hidden="false" customHeight="false" outlineLevel="0" collapsed="false">
      <c r="A13" s="115" t="s">
        <v>35</v>
      </c>
      <c r="B13" s="116" t="n">
        <v>6.95</v>
      </c>
      <c r="C13" s="117"/>
      <c r="D13" s="109"/>
      <c r="E13" s="109"/>
      <c r="F13" s="110" t="n">
        <f aca="false">($B13*$B$7+$C13*$C$7)/100</f>
        <v>4.865</v>
      </c>
      <c r="G13" s="118"/>
      <c r="H13" s="66"/>
      <c r="I13" s="119" t="s">
        <v>36</v>
      </c>
      <c r="J13" s="119"/>
      <c r="K13" s="113" t="n">
        <f aca="false">COUNTIF($G$23:$G$82,"=BRm")+COUNTIF($G$23:$G$82,"=BRh")</f>
        <v>6</v>
      </c>
      <c r="L13" s="114"/>
      <c r="M13" s="124" t="s">
        <v>37</v>
      </c>
      <c r="N13" s="125" t="n">
        <f aca="false">COUNTIF(F23:F82,"&gt;0")</f>
        <v>28</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24</v>
      </c>
      <c r="O14" s="129"/>
      <c r="P14" s="8"/>
      <c r="Q14" s="8"/>
      <c r="R14" s="8"/>
      <c r="S14" s="8"/>
      <c r="T14" s="8"/>
      <c r="U14" s="8"/>
    </row>
    <row r="15" customFormat="false" ht="12.75" hidden="false" customHeight="false" outlineLevel="0" collapsed="false">
      <c r="A15" s="130" t="s">
        <v>41</v>
      </c>
      <c r="B15" s="131" t="n">
        <v>5</v>
      </c>
      <c r="C15" s="132" t="n">
        <v>12.43</v>
      </c>
      <c r="D15" s="109"/>
      <c r="E15" s="109"/>
      <c r="F15" s="110" t="n">
        <f aca="false">($B15*$B$7+$C15*$C$7)/100</f>
        <v>7.229</v>
      </c>
      <c r="G15" s="118"/>
      <c r="H15" s="66"/>
      <c r="I15" s="119" t="s">
        <v>42</v>
      </c>
      <c r="J15" s="119"/>
      <c r="K15" s="113" t="n">
        <f aca="false">(COUNTIF($G$23:$G$82,"=PHy"))+(COUNTIF($G$23:$G$82,"=PHe"))+(COUNTIF($G$23:$G$82,"=PHg"))+(COUNTIF($G$23:$G$82,"=PHx"))</f>
        <v>9</v>
      </c>
      <c r="L15" s="114"/>
      <c r="M15" s="133" t="s">
        <v>43</v>
      </c>
      <c r="N15" s="134" t="n">
        <f aca="false">COUNTIF(J23:J82,"=1")</f>
        <v>11</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12</v>
      </c>
      <c r="O16" s="135"/>
      <c r="P16" s="8"/>
      <c r="Q16" s="8"/>
      <c r="R16" s="8"/>
      <c r="S16" s="8"/>
      <c r="T16" s="8"/>
      <c r="U16" s="8"/>
    </row>
    <row r="17" customFormat="false" ht="12.75" hidden="false" customHeight="false" outlineLevel="0" collapsed="false">
      <c r="A17" s="115" t="s">
        <v>46</v>
      </c>
      <c r="B17" s="116" t="n">
        <v>22.45</v>
      </c>
      <c r="C17" s="117" t="n">
        <v>28</v>
      </c>
      <c r="D17" s="109"/>
      <c r="E17" s="109"/>
      <c r="F17" s="139"/>
      <c r="G17" s="110" t="n">
        <f aca="false">($B17*$B$7+$C17*$C$7)/100</f>
        <v>24.115</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c r="C18" s="142" t="n">
        <v>1.43</v>
      </c>
      <c r="D18" s="109"/>
      <c r="E18" s="143" t="s">
        <v>49</v>
      </c>
      <c r="F18" s="139"/>
      <c r="G18" s="110" t="n">
        <f aca="false">($B18*$B$7+$C18*$C$7)/100</f>
        <v>0.429</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24.544</v>
      </c>
      <c r="G19" s="151" t="n">
        <f aca="false">SUM(G16:G18)</f>
        <v>24.544</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22.6</v>
      </c>
      <c r="C20" s="160" t="n">
        <f aca="false">SUM(C23:C82)</f>
        <v>29.59</v>
      </c>
      <c r="D20" s="161"/>
      <c r="E20" s="162" t="s">
        <v>49</v>
      </c>
      <c r="F20" s="163" t="n">
        <f aca="false">($B20*$B$7+$C20*$C$7)/100</f>
        <v>24.697</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15.82</v>
      </c>
      <c r="C21" s="172" t="n">
        <f aca="false">C20*C7/100</f>
        <v>8.877</v>
      </c>
      <c r="D21" s="109" t="str">
        <f aca="false">IF(F21=0,"",IF((ABS(F21-F19))&gt;(0.2*F21),CONCATENATE(" rec. par taxa (",F21," %) supérieur à 20 % !"),""))</f>
        <v/>
      </c>
      <c r="E21" s="173" t="str">
        <f aca="false">IF(F21=0,"",IF((ABS(F21-F19))&gt;(0.2*F21),CONCATENATE("ATTENTION : écart entre rec. par grp (",F19," %) ","et",""),""))</f>
        <v/>
      </c>
      <c r="F21" s="174" t="n">
        <f aca="false">B21+C21</f>
        <v>24.697</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t="n">
        <v>1</v>
      </c>
      <c r="C23" s="196" t="n">
        <v>1.4</v>
      </c>
      <c r="D23" s="197" t="str">
        <f aca="false">IF(ISERROR(VLOOKUP($A23,'[1]liste reference'!$A$7:$D$906,2,0)),IF(ISERROR(VLOOKUP($A23,'[1]liste reference'!$B$7:$D$906,1,0)),"",VLOOKUP($A23,'[1]liste reference'!$B$7:$D$906,1,0)),VLOOKUP($A23,'[1]liste reference'!$A$7:$D$906,2,0))</f>
        <v>Cladophora sp.</v>
      </c>
      <c r="E23" s="197" t="e">
        <f aca="false">IF(D23="",0,VLOOKUP(D23,D$22:D22,1,0))</f>
        <v>#N/A</v>
      </c>
      <c r="F23" s="198" t="n">
        <f aca="false">($B23*$B$7+$C23*$C$7)/100</f>
        <v>1.12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1.12</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72</v>
      </c>
      <c r="B24" s="213" t="n">
        <v>0.3</v>
      </c>
      <c r="C24" s="214" t="n">
        <v>0.05</v>
      </c>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0.225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0.225</v>
      </c>
      <c r="Q24" s="207" t="n">
        <f aca="false">IF(OR(ISTEXT(H24),P24=0),"",IF(P24&lt;0.1,1,IF(P24&lt;1,2,IF(P24&lt;10,3,IF(P24&lt;50,4,IF(P24&gt;=50,5,""))))))</f>
        <v>2</v>
      </c>
      <c r="R24" s="207" t="n">
        <f aca="false">IF(ISERROR(Q24*I24),0,Q24*I24)</f>
        <v>24</v>
      </c>
      <c r="S24" s="207" t="n">
        <f aca="false">IF(ISERROR(Q24*I24*J24),0,Q24*I24*J24)</f>
        <v>48</v>
      </c>
      <c r="T24" s="221" t="n">
        <f aca="false">IF(ISERROR(Q24*J24),0,Q24*J24)</f>
        <v>4</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73</v>
      </c>
      <c r="B25" s="213" t="n">
        <v>6</v>
      </c>
      <c r="C25" s="214" t="n">
        <v>2</v>
      </c>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4.8</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4.8</v>
      </c>
      <c r="Q25" s="207" t="n">
        <f aca="false">IF(OR(ISTEXT(H25),P25=0),"",IF(P25&lt;0.1,1,IF(P25&lt;1,2,IF(P25&lt;10,3,IF(P25&lt;50,4,IF(P25&gt;=50,5,""))))))</f>
        <v>3</v>
      </c>
      <c r="R25" s="207" t="n">
        <f aca="false">IF(ISERROR(Q25*I25),0,Q25*I25)</f>
        <v>45</v>
      </c>
      <c r="S25" s="207" t="n">
        <f aca="false">IF(ISERROR(Q25*I25*J25),0,Q25*I25*J25)</f>
        <v>90</v>
      </c>
      <c r="T25" s="221" t="n">
        <f aca="false">IF(ISERROR(Q25*J25),0,Q25*J25)</f>
        <v>6</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74</v>
      </c>
      <c r="B26" s="213" t="n">
        <v>1.5</v>
      </c>
      <c r="C26" s="214" t="n">
        <v>0.05</v>
      </c>
      <c r="D26" s="215" t="str">
        <f aca="false">IF(ISERROR(VLOOKUP($A26,'[1]liste reference'!$A$7:$D$906,2,0)),IF(ISERROR(VLOOKUP($A26,'[1]liste reference'!$B$7:$D$906,1,0)),"",VLOOKUP($A26,'[1]liste reference'!$B$7:$D$906,1,0)),VLOOKUP($A26,'[1]liste reference'!$A$7:$D$906,2,0))</f>
        <v>Lemanea gr. fluviatilis</v>
      </c>
      <c r="E26" s="215" t="e">
        <f aca="false">IF(D26="",0,VLOOKUP(D26,D$21:D25,1,0))</f>
        <v>#N/A</v>
      </c>
      <c r="F26" s="216" t="n">
        <f aca="false">($B26*$B$7+$C26*$C$7)/100</f>
        <v>1.065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05"/>
      <c r="P26" s="206" t="n">
        <f aca="false">IF(ISTEXT(H26),"",(B26*$B$7/100)+(C26*$C$7/100))</f>
        <v>1.065</v>
      </c>
      <c r="Q26" s="207" t="n">
        <f aca="false">IF(OR(ISTEXT(H26),P26=0),"",IF(P26&lt;0.1,1,IF(P26&lt;1,2,IF(P26&lt;10,3,IF(P26&lt;50,4,IF(P26&gt;=50,5,""))))))</f>
        <v>3</v>
      </c>
      <c r="R26" s="207" t="n">
        <f aca="false">IF(ISERROR(Q26*I26),0,Q26*I26)</f>
        <v>45</v>
      </c>
      <c r="S26" s="207" t="n">
        <f aca="false">IF(ISERROR(Q26*I26*J26),0,Q26*I26*J26)</f>
        <v>90</v>
      </c>
      <c r="T26" s="221" t="n">
        <f aca="false">IF(ISERROR(Q26*J26),0,Q26*J26)</f>
        <v>6</v>
      </c>
      <c r="U26" s="208" t="str">
        <f aca="false">IF(AND(A26="",F26=0),"",IF(F26=0,"Il manque le(s) % de rec. !",""))</f>
        <v/>
      </c>
      <c r="V26" s="209"/>
      <c r="W26" s="222"/>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75</v>
      </c>
      <c r="B27" s="213" t="n">
        <v>0.3</v>
      </c>
      <c r="C27" s="214" t="n">
        <v>0.1</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0.24</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0"/>
      <c r="M27" s="220"/>
      <c r="N27" s="220"/>
      <c r="O27" s="205"/>
      <c r="P27" s="206" t="n">
        <f aca="false">IF(ISTEXT(H27),"",(B27*$B$7/100)+(C27*$C$7/100))</f>
        <v>0.24</v>
      </c>
      <c r="Q27" s="207" t="n">
        <f aca="false">IF(OR(ISTEXT(H27),P27=0),"",IF(P27&lt;0.1,1,IF(P27&lt;1,2,IF(P27&lt;10,3,IF(P27&lt;50,4,IF(P27&gt;=50,5,""))))))</f>
        <v>2</v>
      </c>
      <c r="R27" s="207" t="n">
        <f aca="false">IF(ISERROR(Q27*I27),0,Q27*I27)</f>
        <v>20</v>
      </c>
      <c r="S27" s="207" t="n">
        <f aca="false">IF(ISERROR(Q27*I27*J27),0,Q27*I27*J27)</f>
        <v>20</v>
      </c>
      <c r="T27" s="221" t="n">
        <f aca="false">IF(ISERROR(Q27*J27),0,Q27*J27)</f>
        <v>2</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76</v>
      </c>
      <c r="B28" s="213" t="n">
        <v>1.2</v>
      </c>
      <c r="C28" s="214" t="n">
        <v>1</v>
      </c>
      <c r="D28" s="215" t="str">
        <f aca="false">IF(ISERROR(VLOOKUP($A28,'[1]liste reference'!$A$7:$D$906,2,0)),IF(ISERROR(VLOOKUP($A28,'[1]liste reference'!$B$7:$D$906,1,0)),"",VLOOKUP($A28,'[1]liste reference'!$B$7:$D$906,1,0)),VLOOKUP($A28,'[1]liste reference'!$A$7:$D$906,2,0))</f>
        <v/>
      </c>
      <c r="E28" s="215" t="n">
        <f aca="false">IF(D28="",0,VLOOKUP(D28,D$22:D27,1,0))</f>
        <v>0</v>
      </c>
      <c r="F28" s="216" t="n">
        <f aca="false">($B28*$B$7+$C28*$C$7)/100</f>
        <v>1.14</v>
      </c>
      <c r="G28" s="217" t="str">
        <f aca="false">IF(A28="","",IF(ISERROR(VLOOKUP($A28,'[1]liste reference'!$A$7:$P$906,13,0)),IF(ISERROR(VLOOKUP($A28,'[1]liste reference'!$B$7:$P$906,12,0)),"    -",VLOOKUP($A28,'[1]liste reference'!$B$7:$P$906,12,0)),VLOOKUP($A28,'[1]liste reference'!$A$7:$P$906,13,0)))</f>
        <v>-</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Gomphoneis sp.</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NEW.COD</v>
      </c>
      <c r="Y28" s="8" t="str">
        <f aca="false">IF(ISERROR(MATCH(A28,'[1]liste reference'!$A$7:$A$906,0)),IF(ISERROR(MATCH(A28,'[1]liste reference'!$B$7:$B$906,0)),"",(MATCH(A28,'[1]liste reference'!$B$7:$B$906,0))),(MATCH(A28,'[1]liste reference'!$A$7:$A$906,0)))</f>
        <v/>
      </c>
      <c r="Z28" s="210"/>
      <c r="AA28" s="211" t="s">
        <v>77</v>
      </c>
      <c r="BB28" s="8" t="n">
        <f aca="false">IF(A28="","",1)</f>
        <v>1</v>
      </c>
    </row>
    <row r="29" customFormat="false" ht="12.75" hidden="false" customHeight="false" outlineLevel="0" collapsed="false">
      <c r="A29" s="212" t="s">
        <v>76</v>
      </c>
      <c r="B29" s="213"/>
      <c r="C29" s="214" t="n">
        <v>0.05</v>
      </c>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0.015</v>
      </c>
      <c r="G29" s="217" t="str">
        <f aca="false">IF(A29="","",IF(ISERROR(VLOOKUP($A29,'[1]liste reference'!$A$7:$P$906,13,0)),IF(ISERROR(VLOOKUP($A29,'[1]liste reference'!$B$7:$P$906,12,0)),"    -",VLOOKUP($A29,'[1]liste reference'!$B$7:$P$906,12,0)),VLOOKUP($A29,'[1]liste reference'!$A$7:$P$906,13,0)))</f>
        <v>-</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Plectonema wollei</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NEW.COD</v>
      </c>
      <c r="Y29" s="8" t="str">
        <f aca="false">IF(ISERROR(MATCH(A29,'[1]liste reference'!$A$7:$A$906,0)),IF(ISERROR(MATCH(A29,'[1]liste reference'!$B$7:$B$906,0)),"",(MATCH(A29,'[1]liste reference'!$B$7:$B$906,0))),(MATCH(A29,'[1]liste reference'!$A$7:$A$906,0)))</f>
        <v/>
      </c>
      <c r="Z29" s="210"/>
      <c r="AA29" s="211" t="s">
        <v>78</v>
      </c>
      <c r="BB29" s="8" t="n">
        <f aca="false">IF(A29="","",1)</f>
        <v>1</v>
      </c>
    </row>
    <row r="30" customFormat="false" ht="12.75" hidden="false" customHeight="false" outlineLevel="0" collapsed="false">
      <c r="A30" s="212" t="s">
        <v>79</v>
      </c>
      <c r="B30" s="213"/>
      <c r="C30" s="214" t="n">
        <v>0.5</v>
      </c>
      <c r="D30" s="215" t="str">
        <f aca="false">IF(ISERROR(VLOOKUP($A30,'[1]liste reference'!$A$7:$D$906,2,0)),IF(ISERROR(VLOOKUP($A30,'[1]liste reference'!$B$7:$D$906,1,0)),"",VLOOKUP($A30,'[1]liste reference'!$B$7:$D$906,1,0)),VLOOKUP($A30,'[1]liste reference'!$A$7:$D$906,2,0))</f>
        <v>Oedogonium sp.</v>
      </c>
      <c r="E30" s="215" t="e">
        <f aca="false">IF(D30="",0,VLOOKUP(D30,D$22:D29,1,0))</f>
        <v>#N/A</v>
      </c>
      <c r="F30" s="216" t="n">
        <f aca="false">($B30*$B$7+$C30*$C$7)/100</f>
        <v>0.15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6</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Oedogonium sp.</v>
      </c>
      <c r="L30" s="220"/>
      <c r="M30" s="220"/>
      <c r="N30" s="220"/>
      <c r="O30" s="205"/>
      <c r="P30" s="206" t="n">
        <f aca="false">IF(ISTEXT(H30),"",(B30*$B$7/100)+(C30*$C$7/100))</f>
        <v>0.15</v>
      </c>
      <c r="Q30" s="207" t="n">
        <f aca="false">IF(OR(ISTEXT(H30),P30=0),"",IF(P30&lt;0.1,1,IF(P30&lt;1,2,IF(P30&lt;10,3,IF(P30&lt;50,4,IF(P30&gt;=50,5,""))))))</f>
        <v>2</v>
      </c>
      <c r="R30" s="207" t="n">
        <f aca="false">IF(ISERROR(Q30*I30),0,Q30*I30)</f>
        <v>12</v>
      </c>
      <c r="S30" s="207" t="n">
        <f aca="false">IF(ISERROR(Q30*I30*J30),0,Q30*I30*J30)</f>
        <v>24</v>
      </c>
      <c r="T30" s="221" t="n">
        <f aca="false">IF(ISERROR(Q30*J30),0,Q30*J30)</f>
        <v>4</v>
      </c>
      <c r="U30" s="208" t="str">
        <f aca="false">IF(AND(A30="",F30=0),"",IF(F30=0,"Il manque le(s) % de rec. !",""))</f>
        <v/>
      </c>
      <c r="V30" s="209"/>
      <c r="X30" s="207" t="str">
        <f aca="false">IF(A30="new.cod","NEW.COD",IF(AND((Y30=""),ISTEXT(A30)),A30,IF(Y30="","",INDEX('[1]liste reference'!$A$7:$A$906,Y30))))</f>
        <v>OED.SPX</v>
      </c>
      <c r="Y30" s="8" t="n">
        <f aca="false">IF(ISERROR(MATCH(A30,'[1]liste reference'!$A$7:$A$906,0)),IF(ISERROR(MATCH(A30,'[1]liste reference'!$B$7:$B$906,0)),"",(MATCH(A30,'[1]liste reference'!$B$7:$B$906,0))),(MATCH(A30,'[1]liste reference'!$A$7:$A$906,0)))</f>
        <v>56</v>
      </c>
      <c r="Z30" s="210"/>
      <c r="AA30" s="211"/>
      <c r="BB30" s="8" t="n">
        <f aca="false">IF(A30="","",1)</f>
        <v>1</v>
      </c>
    </row>
    <row r="31" customFormat="false" ht="12.75" hidden="false" customHeight="false" outlineLevel="0" collapsed="false">
      <c r="A31" s="212" t="s">
        <v>80</v>
      </c>
      <c r="B31" s="213"/>
      <c r="C31" s="214" t="n">
        <v>5</v>
      </c>
      <c r="D31" s="215" t="str">
        <f aca="false">IF(ISERROR(VLOOKUP($A31,'[1]liste reference'!$A$7:$D$906,2,0)),IF(ISERROR(VLOOKUP($A31,'[1]liste reference'!$B$7:$D$906,1,0)),"",VLOOKUP($A31,'[1]liste reference'!$B$7:$D$906,1,0)),VLOOKUP($A31,'[1]liste reference'!$A$7:$D$906,2,0))</f>
        <v>Oscillatoria sp.</v>
      </c>
      <c r="E31" s="215" t="e">
        <f aca="false">IF(D31="",0,VLOOKUP(D31,D$22:D30,1,0))</f>
        <v>#N/A</v>
      </c>
      <c r="F31" s="216" t="n">
        <f aca="false">($B31*$B$7+$C31*$C$7)/100</f>
        <v>1.5</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Oscillatoria sp.</v>
      </c>
      <c r="L31" s="220"/>
      <c r="M31" s="220"/>
      <c r="N31" s="220"/>
      <c r="O31" s="205"/>
      <c r="P31" s="206" t="n">
        <f aca="false">IF(ISTEXT(H31),"",(B31*$B$7/100)+(C31*$C$7/100))</f>
        <v>1.5</v>
      </c>
      <c r="Q31" s="207" t="n">
        <f aca="false">IF(OR(ISTEXT(H31),P31=0),"",IF(P31&lt;0.1,1,IF(P31&lt;1,2,IF(P31&lt;10,3,IF(P31&lt;50,4,IF(P31&gt;=50,5,""))))))</f>
        <v>3</v>
      </c>
      <c r="R31" s="207" t="n">
        <f aca="false">IF(ISERROR(Q31*I31),0,Q31*I31)</f>
        <v>33</v>
      </c>
      <c r="S31" s="207" t="n">
        <f aca="false">IF(ISERROR(Q31*I31*J31),0,Q31*I31*J31)</f>
        <v>33</v>
      </c>
      <c r="T31" s="221" t="n">
        <f aca="false">IF(ISERROR(Q31*J31),0,Q31*J31)</f>
        <v>3</v>
      </c>
      <c r="U31" s="208" t="str">
        <f aca="false">IF(AND(A31="",F31=0),"",IF(F31=0,"Il manque le(s) % de rec. !",""))</f>
        <v/>
      </c>
      <c r="V31" s="209"/>
      <c r="X31" s="207" t="str">
        <f aca="false">IF(A31="new.cod","NEW.COD",IF(AND((Y31=""),ISTEXT(A31)),A31,IF(Y31="","",INDEX('[1]liste reference'!$A$7:$A$906,Y31))))</f>
        <v>OSC.SPX</v>
      </c>
      <c r="Y31" s="8" t="n">
        <f aca="false">IF(ISERROR(MATCH(A31,'[1]liste reference'!$A$7:$A$906,0)),IF(ISERROR(MATCH(A31,'[1]liste reference'!$B$7:$B$906,0)),"",(MATCH(A31,'[1]liste reference'!$B$7:$B$906,0))),(MATCH(A31,'[1]liste reference'!$A$7:$A$906,0)))</f>
        <v>57</v>
      </c>
      <c r="Z31" s="210"/>
      <c r="AA31" s="211"/>
      <c r="BB31" s="8" t="n">
        <f aca="false">IF(A31="","",1)</f>
        <v>1</v>
      </c>
    </row>
    <row r="32" customFormat="false" ht="12.75" hidden="false" customHeight="false" outlineLevel="0" collapsed="false">
      <c r="A32" s="212" t="s">
        <v>81</v>
      </c>
      <c r="B32" s="213" t="n">
        <v>0.1</v>
      </c>
      <c r="C32" s="214" t="n">
        <v>0.01</v>
      </c>
      <c r="D32" s="215" t="str">
        <f aca="false">IF(ISERROR(VLOOKUP($A32,'[1]liste reference'!$A$7:$D$906,2,0)),IF(ISERROR(VLOOKUP($A32,'[1]liste reference'!$B$7:$D$906,1,0)),"",VLOOKUP($A32,'[1]liste reference'!$B$7:$D$906,1,0)),VLOOKUP($A32,'[1]liste reference'!$A$7:$D$906,2,0))</f>
        <v>Phormidium sp.</v>
      </c>
      <c r="E32" s="215" t="e">
        <f aca="false">IF(D32="",0,VLOOKUP(D32,D$22:D31,1,0))</f>
        <v>#N/A</v>
      </c>
      <c r="F32" s="216" t="n">
        <f aca="false">($B32*$B$7+$C32*$C$7)/100</f>
        <v>0.073</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13</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Phormidium sp.</v>
      </c>
      <c r="L32" s="223"/>
      <c r="M32" s="223"/>
      <c r="N32" s="223"/>
      <c r="O32" s="224"/>
      <c r="P32" s="206" t="n">
        <f aca="false">IF(ISTEXT(H32),"",(B32*$B$7/100)+(C32*$C$7/100))</f>
        <v>0.073</v>
      </c>
      <c r="Q32" s="207" t="n">
        <f aca="false">IF(OR(ISTEXT(H32),P32=0),"",IF(P32&lt;0.1,1,IF(P32&lt;1,2,IF(P32&lt;10,3,IF(P32&lt;50,4,IF(P32&gt;=50,5,""))))))</f>
        <v>1</v>
      </c>
      <c r="R32" s="207" t="n">
        <f aca="false">IF(ISERROR(Q32*I32),0,Q32*I32)</f>
        <v>13</v>
      </c>
      <c r="S32" s="207" t="n">
        <f aca="false">IF(ISERROR(Q32*I32*J32),0,Q32*I32*J32)</f>
        <v>26</v>
      </c>
      <c r="T32" s="221" t="n">
        <f aca="false">IF(ISERROR(Q32*J32),0,Q32*J32)</f>
        <v>2</v>
      </c>
      <c r="U32" s="208" t="str">
        <f aca="false">IF(AND(A32="",F32=0),"",IF(F32=0,"Il manque le(s) % de rec. !",""))</f>
        <v/>
      </c>
      <c r="V32" s="209"/>
      <c r="X32" s="207" t="str">
        <f aca="false">IF(A32="new.cod","NEW.COD",IF(AND((Y32=""),ISTEXT(A32)),A32,IF(Y32="","",INDEX('[1]liste reference'!$A$7:$A$906,Y32))))</f>
        <v>PHO.SPX</v>
      </c>
      <c r="Y32" s="8" t="n">
        <f aca="false">IF(ISERROR(MATCH(A32,'[1]liste reference'!$A$7:$A$906,0)),IF(ISERROR(MATCH(A32,'[1]liste reference'!$B$7:$B$906,0)),"",(MATCH(A32,'[1]liste reference'!$B$7:$B$906,0))),(MATCH(A32,'[1]liste reference'!$A$7:$A$906,0)))</f>
        <v>58</v>
      </c>
      <c r="Z32" s="210"/>
      <c r="AA32" s="211"/>
      <c r="BB32" s="8" t="n">
        <f aca="false">IF(A32="","",1)</f>
        <v>1</v>
      </c>
    </row>
    <row r="33" customFormat="false" ht="12.75" hidden="false" customHeight="false" outlineLevel="0" collapsed="false">
      <c r="A33" s="212" t="s">
        <v>82</v>
      </c>
      <c r="B33" s="213" t="n">
        <v>0.2</v>
      </c>
      <c r="C33" s="214" t="n">
        <v>1</v>
      </c>
      <c r="D33" s="215" t="str">
        <f aca="false">IF(ISERROR(VLOOKUP($A33,'[1]liste reference'!$A$7:$D$906,2,0)),IF(ISERROR(VLOOKUP($A33,'[1]liste reference'!$B$7:$D$906,1,0)),"",VLOOKUP($A33,'[1]liste reference'!$B$7:$D$906,1,0)),VLOOKUP($A33,'[1]liste reference'!$A$7:$D$906,2,0))</f>
        <v>Rhizoclonium sp.</v>
      </c>
      <c r="E33" s="215" t="e">
        <f aca="false">IF(D33="",0,VLOOKUP(D33,D$22:D32,1,0))</f>
        <v>#N/A</v>
      </c>
      <c r="F33" s="216" t="n">
        <f aca="false">($B33*$B$7+$C33*$C$7)/100</f>
        <v>0.44</v>
      </c>
      <c r="G33" s="217"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8" t="n">
        <f aca="false">IF(ISNUMBER(H33),IF(ISERROR(VLOOKUP($A33,'[1]liste reference'!$A$7:$P$906,3,0)),IF(ISERROR(VLOOKUP($A33,'[1]liste reference'!$B$7:$P$906,2,0)),"",VLOOKUP($A33,'[1]liste reference'!$B$7:$P$906,2,0)),VLOOKUP($A33,'[1]liste reference'!$A$7:$P$906,3,0)),"")</f>
        <v>4</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Rhizoclonium sp.</v>
      </c>
      <c r="L33" s="220"/>
      <c r="M33" s="220"/>
      <c r="N33" s="220"/>
      <c r="O33" s="205"/>
      <c r="P33" s="206" t="n">
        <f aca="false">IF(ISTEXT(H33),"",(B33*$B$7/100)+(C33*$C$7/100))</f>
        <v>0.44</v>
      </c>
      <c r="Q33" s="207" t="n">
        <f aca="false">IF(OR(ISTEXT(H33),P33=0),"",IF(P33&lt;0.1,1,IF(P33&lt;1,2,IF(P33&lt;10,3,IF(P33&lt;50,4,IF(P33&gt;=50,5,""))))))</f>
        <v>2</v>
      </c>
      <c r="R33" s="207" t="n">
        <f aca="false">IF(ISERROR(Q33*I33),0,Q33*I33)</f>
        <v>8</v>
      </c>
      <c r="S33" s="207" t="n">
        <f aca="false">IF(ISERROR(Q33*I33*J33),0,Q33*I33*J33)</f>
        <v>16</v>
      </c>
      <c r="T33" s="221" t="n">
        <f aca="false">IF(ISERROR(Q33*J33),0,Q33*J33)</f>
        <v>4</v>
      </c>
      <c r="U33" s="208" t="str">
        <f aca="false">IF(AND(A33="",F33=0),"",IF(F33=0,"Il manque le(s) % de rec. !",""))</f>
        <v/>
      </c>
      <c r="V33" s="209"/>
      <c r="X33" s="207" t="str">
        <f aca="false">IF(A33="new.cod","NEW.COD",IF(AND((Y33=""),ISTEXT(A33)),A33,IF(Y33="","",INDEX('[1]liste reference'!$A$7:$A$906,Y33))))</f>
        <v>RHI.SPX</v>
      </c>
      <c r="Y33" s="8" t="n">
        <f aca="false">IF(ISERROR(MATCH(A33,'[1]liste reference'!$A$7:$A$906,0)),IF(ISERROR(MATCH(A33,'[1]liste reference'!$B$7:$B$906,0)),"",(MATCH(A33,'[1]liste reference'!$B$7:$B$906,0))),(MATCH(A33,'[1]liste reference'!$A$7:$A$906,0)))</f>
        <v>63</v>
      </c>
      <c r="Z33" s="210"/>
      <c r="AA33" s="211"/>
      <c r="BB33" s="8" t="n">
        <f aca="false">IF(A33="","",1)</f>
        <v>1</v>
      </c>
    </row>
    <row r="34" customFormat="false" ht="12.75" hidden="false" customHeight="false" outlineLevel="0" collapsed="false">
      <c r="A34" s="212" t="s">
        <v>83</v>
      </c>
      <c r="B34" s="213"/>
      <c r="C34" s="214" t="n">
        <v>6</v>
      </c>
      <c r="D34" s="215" t="str">
        <f aca="false">IF(ISERROR(VLOOKUP($A34,'[1]liste reference'!$A$7:$D$906,2,0)),IF(ISERROR(VLOOKUP($A34,'[1]liste reference'!$B$7:$D$906,1,0)),"",VLOOKUP($A34,'[1]liste reference'!$B$7:$D$906,1,0)),VLOOKUP($A34,'[1]liste reference'!$A$7:$D$906,2,0))</f>
        <v>Spirogyra sp.</v>
      </c>
      <c r="E34" s="215" t="e">
        <f aca="false">IF(D34="",0,VLOOKUP(D34,D$22:D33,1,0))</f>
        <v>#N/A</v>
      </c>
      <c r="F34" s="225" t="n">
        <f aca="false">($B34*$B$7+$C34*$C$7)/100</f>
        <v>1.8</v>
      </c>
      <c r="G34" s="217" t="str">
        <f aca="false">IF(A34="","",IF(ISERROR(VLOOKUP($A34,'[1]liste reference'!$A$7:$P$906,13,0)),IF(ISERROR(VLOOKUP($A34,'[1]liste reference'!$B$7:$P$906,12,0)),"    -",VLOOKUP($A34,'[1]liste reference'!$B$7:$P$906,12,0)),VLOOKUP($A34,'[1]liste reference'!$A$7:$P$906,13,0)))</f>
        <v>ALG</v>
      </c>
      <c r="H34" s="200" t="n">
        <f aca="false">IF(A34="","x",IF(ISERROR(VLOOKUP($A34,'[1]liste reference'!$A$7:$P$906,14,0)),IF(ISERROR(VLOOKUP($A34,'[1]liste reference'!$B$7:$P$906,13,0)),"x",VLOOKUP($A34,'[1]liste reference'!$B$7:$P$906,13,0)),VLOOKUP($A34,'[1]liste reference'!$A$7:$P$906,14,0)))</f>
        <v>2</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Spirogyra sp.</v>
      </c>
      <c r="L34" s="220"/>
      <c r="M34" s="220"/>
      <c r="N34" s="220"/>
      <c r="O34" s="205"/>
      <c r="P34" s="206" t="n">
        <f aca="false">IF(ISTEXT(H34),"",(B34*$B$7/100)+(C34*$C$7/100))</f>
        <v>1.8</v>
      </c>
      <c r="Q34" s="207" t="n">
        <f aca="false">IF(OR(ISTEXT(H34),P34=0),"",IF(P34&lt;0.1,1,IF(P34&lt;1,2,IF(P34&lt;10,3,IF(P34&lt;50,4,IF(P34&gt;=50,5,""))))))</f>
        <v>3</v>
      </c>
      <c r="R34" s="207" t="n">
        <f aca="false">IF(ISERROR(Q34*I34),0,Q34*I34)</f>
        <v>30</v>
      </c>
      <c r="S34" s="207" t="n">
        <f aca="false">IF(ISERROR(Q34*I34*J34),0,Q34*I34*J34)</f>
        <v>30</v>
      </c>
      <c r="T34" s="221" t="n">
        <f aca="false">IF(ISERROR(Q34*J34),0,Q34*J34)</f>
        <v>3</v>
      </c>
      <c r="U34" s="208" t="str">
        <f aca="false">IF(AND(A34="",F34=0),"",IF(F34=0,"Il manque le(s) % de rec. !",""))</f>
        <v/>
      </c>
      <c r="V34" s="209"/>
      <c r="X34" s="207" t="str">
        <f aca="false">IF(A34="new.cod","NEW.COD",IF(AND((Y34=""),ISTEXT(A34)),A34,IF(Y34="","",INDEX('[1]liste reference'!$A$7:$A$906,Y34))))</f>
        <v>SPI.SPX</v>
      </c>
      <c r="Y34" s="8" t="n">
        <f aca="false">IF(ISERROR(MATCH(A34,'[1]liste reference'!$A$7:$A$906,0)),IF(ISERROR(MATCH(A34,'[1]liste reference'!$B$7:$B$906,0)),"",(MATCH(A34,'[1]liste reference'!$B$7:$B$906,0))),(MATCH(A34,'[1]liste reference'!$A$7:$A$906,0)))</f>
        <v>70</v>
      </c>
      <c r="Z34" s="210"/>
      <c r="AA34" s="211"/>
      <c r="BB34" s="8" t="n">
        <f aca="false">IF(A34="","",1)</f>
        <v>1</v>
      </c>
    </row>
    <row r="35" customFormat="false" ht="12.75" hidden="false" customHeight="false" outlineLevel="0" collapsed="false">
      <c r="A35" s="212" t="s">
        <v>84</v>
      </c>
      <c r="B35" s="213" t="n">
        <v>0.05</v>
      </c>
      <c r="C35" s="214"/>
      <c r="D35" s="215" t="str">
        <f aca="false">IF(ISERROR(VLOOKUP($A35,'[1]liste reference'!$A$7:$D$906,2,0)),IF(ISERROR(VLOOKUP($A35,'[1]liste reference'!$B$7:$D$906,1,0)),"",VLOOKUP($A35,'[1]liste reference'!$B$7:$D$906,1,0)),VLOOKUP($A35,'[1]liste reference'!$A$7:$D$906,2,0))</f>
        <v>Stigeoclonium sp.</v>
      </c>
      <c r="E35" s="215" t="e">
        <f aca="false">IF(D35="",0,VLOOKUP(D35,D$22:D34,1,0))</f>
        <v>#N/A</v>
      </c>
      <c r="F35" s="225" t="n">
        <f aca="false">($B35*$B$7+$C35*$C$7)/100</f>
        <v>0.035</v>
      </c>
      <c r="G35" s="217" t="str">
        <f aca="false">IF(A35="","",IF(ISERROR(VLOOKUP($A35,'[1]liste reference'!$A$7:$P$906,13,0)),IF(ISERROR(VLOOKUP($A35,'[1]liste reference'!$B$7:$P$906,12,0)),"    -",VLOOKUP($A35,'[1]liste reference'!$B$7:$P$906,12,0)),VLOOKUP($A35,'[1]liste reference'!$A$7:$P$906,13,0)))</f>
        <v>ALG</v>
      </c>
      <c r="H35" s="200" t="n">
        <f aca="false">IF(A35="","x",IF(ISERROR(VLOOKUP($A35,'[1]liste reference'!$A$7:$P$906,14,0)),IF(ISERROR(VLOOKUP($A35,'[1]liste reference'!$B$7:$P$906,13,0)),"x",VLOOKUP($A35,'[1]liste reference'!$B$7:$P$906,13,0)),VLOOKUP($A35,'[1]liste reference'!$A$7:$P$906,14,0)))</f>
        <v>2</v>
      </c>
      <c r="I35" s="218" t="n">
        <f aca="false">IF(ISNUMBER(H35),IF(ISERROR(VLOOKUP($A35,'[1]liste reference'!$A$7:$P$906,3,0)),IF(ISERROR(VLOOKUP($A35,'[1]liste reference'!$B$7:$P$906,2,0)),"",VLOOKUP($A35,'[1]liste reference'!$B$7:$P$906,2,0)),VLOOKUP($A35,'[1]liste reference'!$A$7:$P$906,3,0)),"")</f>
        <v>13</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Stigeoclonium sp.</v>
      </c>
      <c r="L35" s="223"/>
      <c r="M35" s="223"/>
      <c r="N35" s="223"/>
      <c r="O35" s="224"/>
      <c r="P35" s="206" t="n">
        <f aca="false">IF(ISTEXT(H35),"",(B35*$B$7/100)+(C35*$C$7/100))</f>
        <v>0.035</v>
      </c>
      <c r="Q35" s="207" t="n">
        <f aca="false">IF(OR(ISTEXT(H35),P35=0),"",IF(P35&lt;0.1,1,IF(P35&lt;1,2,IF(P35&lt;10,3,IF(P35&lt;50,4,IF(P35&gt;=50,5,""))))))</f>
        <v>1</v>
      </c>
      <c r="R35" s="207" t="n">
        <f aca="false">IF(ISERROR(Q35*I35),0,Q35*I35)</f>
        <v>13</v>
      </c>
      <c r="S35" s="207" t="n">
        <f aca="false">IF(ISERROR(Q35*I35*J35),0,Q35*I35*J35)</f>
        <v>26</v>
      </c>
      <c r="T35" s="221" t="n">
        <f aca="false">IF(ISERROR(Q35*J35),0,Q35*J35)</f>
        <v>2</v>
      </c>
      <c r="U35" s="208" t="str">
        <f aca="false">IF(AND(A35="",F35=0),"",IF(F35=0,"Il manque le(s) % de rec. !",""))</f>
        <v/>
      </c>
      <c r="V35" s="209"/>
      <c r="X35" s="207" t="str">
        <f aca="false">IF(A35="new.cod","NEW.COD",IF(AND((Y35=""),ISTEXT(A35)),A35,IF(Y35="","",INDEX('[1]liste reference'!$A$7:$A$906,Y35))))</f>
        <v>STI.SPX</v>
      </c>
      <c r="Y35" s="8" t="n">
        <f aca="false">IF(ISERROR(MATCH(A35,'[1]liste reference'!$A$7:$A$906,0)),IF(ISERROR(MATCH(A35,'[1]liste reference'!$B$7:$B$906,0)),"",(MATCH(A35,'[1]liste reference'!$B$7:$B$906,0))),(MATCH(A35,'[1]liste reference'!$A$7:$A$906,0)))</f>
        <v>72</v>
      </c>
      <c r="Z35" s="210"/>
      <c r="AA35" s="211"/>
      <c r="BB35" s="8" t="n">
        <f aca="false">IF(A35="","",1)</f>
        <v>1</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t="s">
        <v>85</v>
      </c>
      <c r="B37" s="213" t="n">
        <v>0.1</v>
      </c>
      <c r="C37" s="214"/>
      <c r="D37" s="215" t="str">
        <f aca="false">IF(ISERROR(VLOOKUP($A37,'[1]liste reference'!$A$7:$D$906,2,0)),IF(ISERROR(VLOOKUP($A37,'[1]liste reference'!$B$7:$D$906,1,0)),"",VLOOKUP($A37,'[1]liste reference'!$B$7:$D$906,1,0)),VLOOKUP($A37,'[1]liste reference'!$A$7:$D$906,2,0))</f>
        <v>Amblystegium fluviatile (Hygroamblystegium fluviatile)</v>
      </c>
      <c r="E37" s="215" t="e">
        <f aca="false">IF(D37="",0,VLOOKUP(D37,D$22:D36,1,0))</f>
        <v>#N/A</v>
      </c>
      <c r="F37" s="225" t="n">
        <f aca="false">($B37*$B$7+$C37*$C$7)/100</f>
        <v>0.07</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11</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Amblystegium fluviatile (Hygroamblystegium fluviatile)</v>
      </c>
      <c r="L37" s="220"/>
      <c r="M37" s="220"/>
      <c r="N37" s="220"/>
      <c r="O37" s="205"/>
      <c r="P37" s="206" t="n">
        <f aca="false">IF(ISTEXT(H37),"",(B37*$B$7/100)+(C37*$C$7/100))</f>
        <v>0.07</v>
      </c>
      <c r="Q37" s="207" t="n">
        <f aca="false">IF(OR(ISTEXT(H37),P37=0),"",IF(P37&lt;0.1,1,IF(P37&lt;1,2,IF(P37&lt;10,3,IF(P37&lt;50,4,IF(P37&gt;=50,5,""))))))</f>
        <v>1</v>
      </c>
      <c r="R37" s="207" t="n">
        <f aca="false">IF(ISERROR(Q37*I37),0,Q37*I37)</f>
        <v>11</v>
      </c>
      <c r="S37" s="207" t="n">
        <f aca="false">IF(ISERROR(Q37*I37*J37),0,Q37*I37*J37)</f>
        <v>22</v>
      </c>
      <c r="T37" s="221" t="n">
        <f aca="false">IF(ISERROR(Q37*J37),0,Q37*J37)</f>
        <v>2</v>
      </c>
      <c r="U37" s="208" t="str">
        <f aca="false">IF(AND(A37="",F37=0),"",IF(F37=0,"Il manque le(s) % de rec. !",""))</f>
        <v/>
      </c>
      <c r="V37" s="209"/>
      <c r="X37" s="207" t="str">
        <f aca="false">IF(A37="new.cod","NEW.COD",IF(AND((Y37=""),ISTEXT(A37)),A37,IF(Y37="","",INDEX('[1]liste reference'!$A$7:$A$906,Y37))))</f>
        <v>AMB.FLU</v>
      </c>
      <c r="Y37" s="8" t="n">
        <f aca="false">IF(ISERROR(MATCH(A37,'[1]liste reference'!$A$7:$A$906,0)),IF(ISERROR(MATCH(A37,'[1]liste reference'!$B$7:$B$906,0)),"",(MATCH(A37,'[1]liste reference'!$B$7:$B$906,0))),(MATCH(A37,'[1]liste reference'!$A$7:$A$906,0)))</f>
        <v>148</v>
      </c>
      <c r="Z37" s="210"/>
      <c r="AA37" s="211"/>
      <c r="BB37" s="8" t="n">
        <f aca="false">IF(A37="","",1)</f>
        <v>1</v>
      </c>
    </row>
    <row r="38" customFormat="false" ht="12.75" hidden="false" customHeight="false" outlineLevel="0" collapsed="false">
      <c r="A38" s="212" t="s">
        <v>86</v>
      </c>
      <c r="B38" s="213" t="n">
        <v>0.4</v>
      </c>
      <c r="C38" s="214"/>
      <c r="D38" s="215" t="str">
        <f aca="false">IF(ISERROR(VLOOKUP($A38,'[1]liste reference'!$A$7:$D$906,2,0)),IF(ISERROR(VLOOKUP($A38,'[1]liste reference'!$B$7:$D$906,1,0)),"",VLOOKUP($A38,'[1]liste reference'!$B$7:$D$906,1,0)),VLOOKUP($A38,'[1]liste reference'!$A$7:$D$906,2,0))</f>
        <v>Amblystegium riparium (Leptodictyum riparium)</v>
      </c>
      <c r="E38" s="215" t="e">
        <f aca="false">IF(D38="",0,VLOOKUP(D38,D$22:D37,1,0))</f>
        <v>#N/A</v>
      </c>
      <c r="F38" s="225" t="n">
        <f aca="false">($B38*$B$7+$C38*$C$7)/100</f>
        <v>0.28</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5</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Amblystegium riparium (Leptodictyum riparium)</v>
      </c>
      <c r="L38" s="220"/>
      <c r="M38" s="220"/>
      <c r="N38" s="220"/>
      <c r="O38" s="205"/>
      <c r="P38" s="206" t="n">
        <f aca="false">IF(ISTEXT(H38),"",(B38*$B$7/100)+(C38*$C$7/100))</f>
        <v>0.28</v>
      </c>
      <c r="Q38" s="207" t="n">
        <f aca="false">IF(OR(ISTEXT(H38),P38=0),"",IF(P38&lt;0.1,1,IF(P38&lt;1,2,IF(P38&lt;10,3,IF(P38&lt;50,4,IF(P38&gt;=50,5,""))))))</f>
        <v>2</v>
      </c>
      <c r="R38" s="207" t="n">
        <f aca="false">IF(ISERROR(Q38*I38),0,Q38*I38)</f>
        <v>10</v>
      </c>
      <c r="S38" s="207" t="n">
        <f aca="false">IF(ISERROR(Q38*I38*J38),0,Q38*I38*J38)</f>
        <v>20</v>
      </c>
      <c r="T38" s="221" t="n">
        <f aca="false">IF(ISERROR(Q38*J38),0,Q38*J38)</f>
        <v>4</v>
      </c>
      <c r="U38" s="208" t="str">
        <f aca="false">IF(AND(A38="",F38=0),"",IF(F38=0,"Il manque le(s) % de rec. !",""))</f>
        <v/>
      </c>
      <c r="V38" s="209"/>
      <c r="W38" s="209"/>
      <c r="X38" s="207" t="str">
        <f aca="false">IF(A38="new.cod","NEW.COD",IF(AND((Y38=""),ISTEXT(A38)),A38,IF(Y38="","",INDEX('[1]liste reference'!$A$7:$A$906,Y38))))</f>
        <v>AMB.RIP</v>
      </c>
      <c r="Y38" s="8" t="n">
        <f aca="false">IF(ISERROR(MATCH(A38,'[1]liste reference'!$A$7:$A$906,0)),IF(ISERROR(MATCH(A38,'[1]liste reference'!$B$7:$B$906,0)),"",(MATCH(A38,'[1]liste reference'!$B$7:$B$906,0))),(MATCH(A38,'[1]liste reference'!$A$7:$A$906,0)))</f>
        <v>149</v>
      </c>
      <c r="Z38" s="210"/>
      <c r="AA38" s="211"/>
      <c r="BB38" s="8" t="n">
        <f aca="false">IF(A38="","",1)</f>
        <v>1</v>
      </c>
    </row>
    <row r="39" customFormat="false" ht="12.75" hidden="false" customHeight="false" outlineLevel="0" collapsed="false">
      <c r="A39" s="212" t="s">
        <v>87</v>
      </c>
      <c r="B39" s="213" t="n">
        <v>0.05</v>
      </c>
      <c r="C39" s="214"/>
      <c r="D39" s="215" t="str">
        <f aca="false">IF(ISERROR(VLOOKUP($A39,'[1]liste reference'!$A$7:$D$906,2,0)),IF(ISERROR(VLOOKUP($A39,'[1]liste reference'!$B$7:$D$906,1,0)),"",VLOOKUP($A39,'[1]liste reference'!$B$7:$D$906,1,0)),VLOOKUP($A39,'[1]liste reference'!$A$7:$D$906,2,0))</f>
        <v>Fissidens crassipes</v>
      </c>
      <c r="E39" s="215" t="e">
        <f aca="false">IF(D39="",0,VLOOKUP(D39,D$22:D38,1,0))</f>
        <v>#N/A</v>
      </c>
      <c r="F39" s="225" t="n">
        <f aca="false">($B39*$B$7+$C39*$C$7)/100</f>
        <v>0.035</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2</v>
      </c>
      <c r="K39" s="219" t="str">
        <f aca="false">IF(A39="NEW.COD",AA39,IF(ISTEXT($E39),"DEJA SAISI !",IF(A39="","",IF(ISERROR(VLOOKUP($A39,'[1]liste reference'!$A$7:$D$906,2,0)),IF(ISERROR(VLOOKUP($A39,'[1]liste reference'!$B$7:$D$906,1,0)),"code non répertorié ou synonyme",VLOOKUP($A39,'[1]liste reference'!$B$7:$D$906,1,0)),VLOOKUP(A39,'[1]liste reference'!$A$7:$D$906,2,0)))))</f>
        <v>Fissidens crassipes</v>
      </c>
      <c r="L39" s="220"/>
      <c r="M39" s="220"/>
      <c r="N39" s="220"/>
      <c r="O39" s="205"/>
      <c r="P39" s="206" t="n">
        <f aca="false">IF(ISTEXT(H39),"",(B39*$B$7/100)+(C39*$C$7/100))</f>
        <v>0.035</v>
      </c>
      <c r="Q39" s="207" t="n">
        <f aca="false">IF(OR(ISTEXT(H39),P39=0),"",IF(P39&lt;0.1,1,IF(P39&lt;1,2,IF(P39&lt;10,3,IF(P39&lt;50,4,IF(P39&gt;=50,5,""))))))</f>
        <v>1</v>
      </c>
      <c r="R39" s="207" t="n">
        <f aca="false">IF(ISERROR(Q39*I39),0,Q39*I39)</f>
        <v>12</v>
      </c>
      <c r="S39" s="207" t="n">
        <f aca="false">IF(ISERROR(Q39*I39*J39),0,Q39*I39*J39)</f>
        <v>24</v>
      </c>
      <c r="T39" s="221" t="n">
        <f aca="false">IF(ISERROR(Q39*J39),0,Q39*J39)</f>
        <v>2</v>
      </c>
      <c r="U39" s="208" t="str">
        <f aca="false">IF(AND(A39="",F39=0),"",IF(F39=0,"Il manque le(s) % de rec. !",""))</f>
        <v/>
      </c>
      <c r="V39" s="226"/>
      <c r="X39" s="207" t="str">
        <f aca="false">IF(A39="new.cod","NEW.COD",IF(AND((Y39=""),ISTEXT(A39)),A39,IF(Y39="","",INDEX('[1]liste reference'!$A$7:$A$906,Y39))))</f>
        <v>FIS.CRA</v>
      </c>
      <c r="Y39" s="8" t="n">
        <f aca="false">IF(ISERROR(MATCH(A39,'[1]liste reference'!$A$7:$A$906,0)),IF(ISERROR(MATCH(A39,'[1]liste reference'!$B$7:$B$906,0)),"",(MATCH(A39,'[1]liste reference'!$B$7:$B$906,0))),(MATCH(A39,'[1]liste reference'!$A$7:$A$906,0)))</f>
        <v>198</v>
      </c>
      <c r="Z39" s="210"/>
      <c r="AA39" s="211"/>
      <c r="BB39" s="8" t="n">
        <f aca="false">IF(A39="","",1)</f>
        <v>1</v>
      </c>
    </row>
    <row r="40" customFormat="false" ht="12.75" hidden="false" customHeight="false" outlineLevel="0" collapsed="false">
      <c r="A40" s="212" t="s">
        <v>88</v>
      </c>
      <c r="B40" s="213" t="n">
        <v>0.3</v>
      </c>
      <c r="C40" s="214"/>
      <c r="D40" s="215" t="str">
        <f aca="false">IF(ISERROR(VLOOKUP($A40,'[1]liste reference'!$A$7:$D$906,2,0)),IF(ISERROR(VLOOKUP($A40,'[1]liste reference'!$B$7:$D$906,1,0)),"",VLOOKUP($A40,'[1]liste reference'!$B$7:$D$906,1,0)),VLOOKUP($A40,'[1]liste reference'!$A$7:$D$906,2,0))</f>
        <v>Fontinalis antipyretica</v>
      </c>
      <c r="E40" s="215" t="e">
        <f aca="false">IF(D40="",0,VLOOKUP(D40,D$22:D39,1,0))</f>
        <v>#N/A</v>
      </c>
      <c r="F40" s="225" t="n">
        <f aca="false">($B40*$B$7+$C40*$C$7)/100</f>
        <v>0.21</v>
      </c>
      <c r="G40" s="217"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8" t="n">
        <f aca="false">IF(ISNUMBER(H40),IF(ISERROR(VLOOKUP($A40,'[1]liste reference'!$A$7:$P$906,3,0)),IF(ISERROR(VLOOKUP($A40,'[1]liste reference'!$B$7:$P$906,2,0)),"",VLOOKUP($A40,'[1]liste reference'!$B$7:$P$906,2,0)),VLOOKUP($A40,'[1]liste reference'!$A$7:$P$906,3,0)),"")</f>
        <v>10</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Fontinalis antipyretica</v>
      </c>
      <c r="L40" s="220"/>
      <c r="M40" s="220"/>
      <c r="N40" s="220"/>
      <c r="O40" s="205"/>
      <c r="P40" s="206" t="n">
        <f aca="false">IF(ISTEXT(H40),"",(B40*$B$7/100)+(C40*$C$7/100))</f>
        <v>0.21</v>
      </c>
      <c r="Q40" s="207" t="n">
        <f aca="false">IF(OR(ISTEXT(H40),P40=0),"",IF(P40&lt;0.1,1,IF(P40&lt;1,2,IF(P40&lt;10,3,IF(P40&lt;50,4,IF(P40&gt;=50,5,""))))))</f>
        <v>2</v>
      </c>
      <c r="R40" s="207" t="n">
        <f aca="false">IF(ISERROR(Q40*I40),0,Q40*I40)</f>
        <v>20</v>
      </c>
      <c r="S40" s="207" t="n">
        <f aca="false">IF(ISERROR(Q40*I40*J40),0,Q40*I40*J40)</f>
        <v>20</v>
      </c>
      <c r="T40" s="221" t="n">
        <f aca="false">IF(ISERROR(Q40*J40),0,Q40*J40)</f>
        <v>2</v>
      </c>
      <c r="U40" s="208" t="str">
        <f aca="false">IF(AND(A40="",F40=0),"",IF(F40=0,"Il manque le(s) % de rec. !",""))</f>
        <v/>
      </c>
      <c r="V40" s="209"/>
      <c r="X40" s="207" t="str">
        <f aca="false">IF(A40="new.cod","NEW.COD",IF(AND((Y40=""),ISTEXT(A40)),A40,IF(Y40="","",INDEX('[1]liste reference'!$A$7:$A$906,Y40))))</f>
        <v>FON.ANT</v>
      </c>
      <c r="Y40" s="8" t="n">
        <f aca="false">IF(ISERROR(MATCH(A40,'[1]liste reference'!$A$7:$A$906,0)),IF(ISERROR(MATCH(A40,'[1]liste reference'!$B$7:$B$906,0)),"",(MATCH(A40,'[1]liste reference'!$B$7:$B$906,0))),(MATCH(A40,'[1]liste reference'!$A$7:$A$906,0)))</f>
        <v>211</v>
      </c>
      <c r="Z40" s="210"/>
      <c r="AA40" s="211"/>
      <c r="BB40" s="8" t="n">
        <f aca="false">IF(A40="","",1)</f>
        <v>1</v>
      </c>
    </row>
    <row r="41" customFormat="false" ht="12.75" hidden="false" customHeight="false" outlineLevel="0" collapsed="false">
      <c r="A41" s="212" t="s">
        <v>89</v>
      </c>
      <c r="B41" s="213" t="n">
        <v>0.1</v>
      </c>
      <c r="C41" s="214"/>
      <c r="D41" s="215" t="str">
        <f aca="false">IF(ISERROR(VLOOKUP($A41,'[1]liste reference'!$A$7:$D$906,2,0)),IF(ISERROR(VLOOKUP($A41,'[1]liste reference'!$B$7:$D$906,1,0)),"",VLOOKUP($A41,'[1]liste reference'!$B$7:$D$906,1,0)),VLOOKUP($A41,'[1]liste reference'!$A$7:$D$906,2,0))</f>
        <v>Fontinalis squamosa</v>
      </c>
      <c r="E41" s="215" t="e">
        <f aca="false">IF(D41="",0,VLOOKUP(D41,D$22:D40,1,0))</f>
        <v>#N/A</v>
      </c>
      <c r="F41" s="225" t="n">
        <f aca="false">($B41*$B$7+$C41*$C$7)/100</f>
        <v>0.07</v>
      </c>
      <c r="G41" s="217" t="str">
        <f aca="false">IF(A41="","",IF(ISERROR(VLOOKUP($A41,'[1]liste reference'!$A$7:$P$906,13,0)),IF(ISERROR(VLOOKUP($A41,'[1]liste reference'!$B$7:$P$906,12,0)),"    -",VLOOKUP($A41,'[1]liste reference'!$B$7:$P$906,12,0)),VLOOKUP($A41,'[1]liste reference'!$A$7:$P$906,13,0)))</f>
        <v>BRm</v>
      </c>
      <c r="H41" s="200" t="n">
        <f aca="false">IF(A41="","x",IF(ISERROR(VLOOKUP($A41,'[1]liste reference'!$A$7:$P$906,14,0)),IF(ISERROR(VLOOKUP($A41,'[1]liste reference'!$B$7:$P$906,13,0)),"x",VLOOKUP($A41,'[1]liste reference'!$B$7:$P$906,13,0)),VLOOKUP($A41,'[1]liste reference'!$A$7:$P$906,14,0)))</f>
        <v>5</v>
      </c>
      <c r="I41" s="218" t="n">
        <f aca="false">IF(ISNUMBER(H41),IF(ISERROR(VLOOKUP($A41,'[1]liste reference'!$A$7:$P$906,3,0)),IF(ISERROR(VLOOKUP($A41,'[1]liste reference'!$B$7:$P$906,2,0)),"",VLOOKUP($A41,'[1]liste reference'!$B$7:$P$906,2,0)),VLOOKUP($A41,'[1]liste reference'!$A$7:$P$906,3,0)),"")</f>
        <v>16</v>
      </c>
      <c r="J41" s="202" t="n">
        <f aca="false">IF(ISNUMBER(H41),IF(ISERROR(VLOOKUP($A41,'[1]liste reference'!$A$7:$P$906,4,0)),IF(ISERROR(VLOOKUP($A41,'[1]liste reference'!$B$7:$P$906,3,0)),"",VLOOKUP($A41,'[1]liste reference'!$B$7:$P$906,3,0)),VLOOKUP($A41,'[1]liste reference'!$A$7:$P$906,4,0)),"")</f>
        <v>3</v>
      </c>
      <c r="K41" s="219" t="str">
        <f aca="false">IF(A41="NEW.COD",AA41,IF(ISTEXT($E41),"DEJA SAISI !",IF(A41="","",IF(ISERROR(VLOOKUP($A41,'[1]liste reference'!$A$7:$D$906,2,0)),IF(ISERROR(VLOOKUP($A41,'[1]liste reference'!$B$7:$D$906,1,0)),"code non répertorié ou synonyme",VLOOKUP($A41,'[1]liste reference'!$B$7:$D$906,1,0)),VLOOKUP(A41,'[1]liste reference'!$A$7:$D$906,2,0)))))</f>
        <v>Fontinalis squamosa</v>
      </c>
      <c r="L41" s="220"/>
      <c r="M41" s="220"/>
      <c r="N41" s="220"/>
      <c r="O41" s="205"/>
      <c r="P41" s="206" t="n">
        <f aca="false">IF(ISTEXT(H41),"",(B41*$B$7/100)+(C41*$C$7/100))</f>
        <v>0.07</v>
      </c>
      <c r="Q41" s="207" t="n">
        <f aca="false">IF(OR(ISTEXT(H41),P41=0),"",IF(P41&lt;0.1,1,IF(P41&lt;1,2,IF(P41&lt;10,3,IF(P41&lt;50,4,IF(P41&gt;=50,5,""))))))</f>
        <v>1</v>
      </c>
      <c r="R41" s="207" t="n">
        <f aca="false">IF(ISERROR(Q41*I41),0,Q41*I41)</f>
        <v>16</v>
      </c>
      <c r="S41" s="207" t="n">
        <f aca="false">IF(ISERROR(Q41*I41*J41),0,Q41*I41*J41)</f>
        <v>48</v>
      </c>
      <c r="T41" s="221" t="n">
        <f aca="false">IF(ISERROR(Q41*J41),0,Q41*J41)</f>
        <v>3</v>
      </c>
      <c r="U41" s="208" t="str">
        <f aca="false">IF(AND(A41="",F41=0),"",IF(F41=0,"Il manque le(s) % de rec. !",""))</f>
        <v/>
      </c>
      <c r="V41" s="209"/>
      <c r="X41" s="207" t="str">
        <f aca="false">IF(A41="new.cod","NEW.COD",IF(AND((Y41=""),ISTEXT(A41)),A41,IF(Y41="","",INDEX('[1]liste reference'!$A$7:$A$906,Y41))))</f>
        <v>FON.SQU</v>
      </c>
      <c r="Y41" s="8" t="n">
        <f aca="false">IF(ISERROR(MATCH(A41,'[1]liste reference'!$A$7:$A$906,0)),IF(ISERROR(MATCH(A41,'[1]liste reference'!$B$7:$B$906,0)),"",(MATCH(A41,'[1]liste reference'!$B$7:$B$906,0))),(MATCH(A41,'[1]liste reference'!$A$7:$A$906,0)))</f>
        <v>215</v>
      </c>
      <c r="Z41" s="210"/>
      <c r="AA41" s="211"/>
      <c r="BB41" s="8" t="n">
        <f aca="false">IF(A41="","",1)</f>
        <v>1</v>
      </c>
    </row>
    <row r="42" customFormat="false" ht="12.75" hidden="false" customHeight="false" outlineLevel="0" collapsed="false">
      <c r="A42" s="212" t="s">
        <v>90</v>
      </c>
      <c r="B42" s="213" t="n">
        <v>6</v>
      </c>
      <c r="C42" s="214"/>
      <c r="D42" s="215" t="str">
        <f aca="false">IF(ISERROR(VLOOKUP($A42,'[1]liste reference'!$A$7:$D$906,2,0)),IF(ISERROR(VLOOKUP($A42,'[1]liste reference'!$B$7:$D$906,1,0)),"",VLOOKUP($A42,'[1]liste reference'!$B$7:$D$906,1,0)),VLOOKUP($A42,'[1]liste reference'!$A$7:$D$906,2,0))</f>
        <v>Rhynchostegium riparioides (Platyhypnidium rusciforme)</v>
      </c>
      <c r="E42" s="215" t="e">
        <f aca="false">IF(D42="",0,VLOOKUP(D42,D$22:D41,1,0))</f>
        <v>#N/A</v>
      </c>
      <c r="F42" s="225" t="n">
        <f aca="false">($B42*$B$7+$C42*$C$7)/100</f>
        <v>4.2</v>
      </c>
      <c r="G42" s="217" t="str">
        <f aca="false">IF(A42="","",IF(ISERROR(VLOOKUP($A42,'[1]liste reference'!$A$7:$P$906,13,0)),IF(ISERROR(VLOOKUP($A42,'[1]liste reference'!$B$7:$P$906,12,0)),"    -",VLOOKUP($A42,'[1]liste reference'!$B$7:$P$906,12,0)),VLOOKUP($A42,'[1]liste reference'!$A$7:$P$906,13,0)))</f>
        <v>BRm</v>
      </c>
      <c r="H42" s="200" t="n">
        <f aca="false">IF(A42="","x",IF(ISERROR(VLOOKUP($A42,'[1]liste reference'!$A$7:$P$906,14,0)),IF(ISERROR(VLOOKUP($A42,'[1]liste reference'!$B$7:$P$906,13,0)),"x",VLOOKUP($A42,'[1]liste reference'!$B$7:$P$906,13,0)),VLOOKUP($A42,'[1]liste reference'!$A$7:$P$906,14,0)))</f>
        <v>5</v>
      </c>
      <c r="I42" s="218"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Rhynchostegium riparioides (Platyhypnidium rusciforme)</v>
      </c>
      <c r="L42" s="220"/>
      <c r="M42" s="220"/>
      <c r="N42" s="220"/>
      <c r="O42" s="205"/>
      <c r="P42" s="206" t="n">
        <f aca="false">IF(ISTEXT(H42),"",(B42*$B$7/100)+(C42*$C$7/100))</f>
        <v>4.2</v>
      </c>
      <c r="Q42" s="207" t="n">
        <f aca="false">IF(OR(ISTEXT(H42),P42=0),"",IF(P42&lt;0.1,1,IF(P42&lt;1,2,IF(P42&lt;10,3,IF(P42&lt;50,4,IF(P42&gt;=50,5,""))))))</f>
        <v>3</v>
      </c>
      <c r="R42" s="207" t="n">
        <f aca="false">IF(ISERROR(Q42*I42),0,Q42*I42)</f>
        <v>36</v>
      </c>
      <c r="S42" s="207" t="n">
        <f aca="false">IF(ISERROR(Q42*I42*J42),0,Q42*I42*J42)</f>
        <v>36</v>
      </c>
      <c r="T42" s="221" t="n">
        <f aca="false">IF(ISERROR(Q42*J42),0,Q42*J42)</f>
        <v>3</v>
      </c>
      <c r="U42" s="208" t="str">
        <f aca="false">IF(AND(A42="",F42=0),"",IF(F42=0,"Il manque le(s) % de rec. !",""))</f>
        <v/>
      </c>
      <c r="V42" s="209"/>
      <c r="X42" s="207" t="str">
        <f aca="false">IF(A42="new.cod","NEW.COD",IF(AND((Y42=""),ISTEXT(A42)),A42,IF(Y42="","",INDEX('[1]liste reference'!$A$7:$A$906,Y42))))</f>
        <v>RHY.RIP</v>
      </c>
      <c r="Y42" s="8" t="n">
        <f aca="false">IF(ISERROR(MATCH(A42,'[1]liste reference'!$A$7:$A$906,0)),IF(ISERROR(MATCH(A42,'[1]liste reference'!$B$7:$B$906,0)),"",(MATCH(A42,'[1]liste reference'!$B$7:$B$906,0))),(MATCH(A42,'[1]liste reference'!$A$7:$A$906,0)))</f>
        <v>253</v>
      </c>
      <c r="Z42" s="210"/>
      <c r="AA42" s="211"/>
      <c r="BB42" s="8" t="n">
        <f aca="false">IF(A42="","",1)</f>
        <v>1</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t="s">
        <v>91</v>
      </c>
      <c r="B44" s="213"/>
      <c r="C44" s="214" t="n">
        <v>0.03</v>
      </c>
      <c r="D44" s="215" t="str">
        <f aca="false">IF(ISERROR(VLOOKUP($A44,'[1]liste reference'!$A$7:$D$906,2,0)),IF(ISERROR(VLOOKUP($A44,'[1]liste reference'!$B$7:$D$906,1,0)),"",VLOOKUP($A44,'[1]liste reference'!$B$7:$D$906,1,0)),VLOOKUP($A44,'[1]liste reference'!$A$7:$D$906,2,0))</f>
        <v>Agrostis stolonifera</v>
      </c>
      <c r="E44" s="215" t="e">
        <f aca="false">IF(D44="",0,VLOOKUP(D44,D$22:D43,1,0))</f>
        <v>#N/A</v>
      </c>
      <c r="F44" s="225" t="n">
        <f aca="false">($B44*$B$7+$C44*$C$7)/100</f>
        <v>0.009</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10</v>
      </c>
      <c r="J44" s="202" t="n">
        <f aca="false">IF(ISNUMBER(H44),IF(ISERROR(VLOOKUP($A44,'[1]liste reference'!$A$7:$P$906,4,0)),IF(ISERROR(VLOOKUP($A44,'[1]liste reference'!$B$7:$P$906,3,0)),"",VLOOKUP($A44,'[1]liste reference'!$B$7:$P$906,3,0)),VLOOKUP($A44,'[1]liste reference'!$A$7:$P$906,4,0)),"")</f>
        <v>1</v>
      </c>
      <c r="K44" s="219" t="str">
        <f aca="false">IF(A44="NEW.COD",AA44,IF(ISTEXT($E44),"DEJA SAISI !",IF(A44="","",IF(ISERROR(VLOOKUP($A44,'[1]liste reference'!$A$7:$D$906,2,0)),IF(ISERROR(VLOOKUP($A44,'[1]liste reference'!$B$7:$D$906,1,0)),"code non répertorié ou synonyme",VLOOKUP($A44,'[1]liste reference'!$B$7:$D$906,1,0)),VLOOKUP(A44,'[1]liste reference'!$A$7:$D$906,2,0)))))</f>
        <v>Agrostis stolonifera</v>
      </c>
      <c r="L44" s="220"/>
      <c r="M44" s="220"/>
      <c r="N44" s="220"/>
      <c r="O44" s="205"/>
      <c r="P44" s="206" t="n">
        <f aca="false">IF(ISTEXT(H44),"",(B44*$B$7/100)+(C44*$C$7/100))</f>
        <v>0.009</v>
      </c>
      <c r="Q44" s="207" t="n">
        <f aca="false">IF(OR(ISTEXT(H44),P44=0),"",IF(P44&lt;0.1,1,IF(P44&lt;1,2,IF(P44&lt;10,3,IF(P44&lt;50,4,IF(P44&gt;=50,5,""))))))</f>
        <v>1</v>
      </c>
      <c r="R44" s="207" t="n">
        <f aca="false">IF(ISERROR(Q44*I44),0,Q44*I44)</f>
        <v>10</v>
      </c>
      <c r="S44" s="207" t="n">
        <f aca="false">IF(ISERROR(Q44*I44*J44),0,Q44*I44*J44)</f>
        <v>10</v>
      </c>
      <c r="T44" s="221" t="n">
        <f aca="false">IF(ISERROR(Q44*J44),0,Q44*J44)</f>
        <v>1</v>
      </c>
      <c r="U44" s="208" t="str">
        <f aca="false">IF(AND(A44="",F44=0),"",IF(F44=0,"Il manque le(s) % de rec. !",""))</f>
        <v/>
      </c>
      <c r="V44" s="209"/>
      <c r="X44" s="207" t="str">
        <f aca="false">IF(A44="new.cod","NEW.COD",IF(AND((Y44=""),ISTEXT(A44)),A44,IF(Y44="","",INDEX('[1]liste reference'!$A$7:$A$906,Y44))))</f>
        <v>AGR.STO</v>
      </c>
      <c r="Y44" s="8" t="n">
        <f aca="false">IF(ISERROR(MATCH(A44,'[1]liste reference'!$A$7:$A$906,0)),IF(ISERROR(MATCH(A44,'[1]liste reference'!$B$7:$B$906,0)),"",(MATCH(A44,'[1]liste reference'!$B$7:$B$906,0))),(MATCH(A44,'[1]liste reference'!$A$7:$A$906,0)))</f>
        <v>520</v>
      </c>
      <c r="Z44" s="210"/>
      <c r="AA44" s="211"/>
      <c r="BB44" s="8" t="n">
        <f aca="false">IF(A44="","",1)</f>
        <v>1</v>
      </c>
    </row>
    <row r="45" customFormat="false" ht="12.75" hidden="false" customHeight="false" outlineLevel="0" collapsed="false">
      <c r="A45" s="212" t="s">
        <v>92</v>
      </c>
      <c r="B45" s="213"/>
      <c r="C45" s="214" t="n">
        <v>0.2</v>
      </c>
      <c r="D45" s="215" t="str">
        <f aca="false">IF(ISERROR(VLOOKUP($A45,'[1]liste reference'!$A$7:$D$906,2,0)),IF(ISERROR(VLOOKUP($A45,'[1]liste reference'!$B$7:$D$906,1,0)),"",VLOOKUP($A45,'[1]liste reference'!$B$7:$D$906,1,0)),VLOOKUP($A45,'[1]liste reference'!$A$7:$D$906,2,0))</f>
        <v>Carex sp.</v>
      </c>
      <c r="E45" s="215" t="e">
        <f aca="false">IF(D45="",0,VLOOKUP(D45,D$22:D44,1,0))</f>
        <v>#N/A</v>
      </c>
      <c r="F45" s="225" t="n">
        <f aca="false">($B45*$B$7+$C45*$C$7)/100</f>
        <v>0.06</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Carex sp.</v>
      </c>
      <c r="L45" s="220"/>
      <c r="M45" s="220"/>
      <c r="N45" s="220"/>
      <c r="O45" s="205"/>
      <c r="P45" s="206" t="n">
        <f aca="false">IF(ISTEXT(H45),"",(B45*$B$7/100)+(C45*$C$7/100))</f>
        <v>0.06</v>
      </c>
      <c r="Q45" s="207" t="n">
        <f aca="false">IF(OR(ISTEXT(H45),P45=0),"",IF(P45&lt;0.1,1,IF(P45&lt;1,2,IF(P45&lt;10,3,IF(P45&lt;50,4,IF(P45&gt;=50,5,""))))))</f>
        <v>1</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CAR.SPX</v>
      </c>
      <c r="Y45" s="8" t="n">
        <f aca="false">IF(ISERROR(MATCH(A45,'[1]liste reference'!$A$7:$A$906,0)),IF(ISERROR(MATCH(A45,'[1]liste reference'!$B$7:$B$906,0)),"",(MATCH(A45,'[1]liste reference'!$B$7:$B$906,0))),(MATCH(A45,'[1]liste reference'!$A$7:$A$906,0)))</f>
        <v>551</v>
      </c>
      <c r="Z45" s="210"/>
      <c r="AA45" s="211"/>
      <c r="BB45" s="8" t="n">
        <f aca="false">IF(A45="","",1)</f>
        <v>1</v>
      </c>
    </row>
    <row r="46" customFormat="false" ht="12.75" hidden="false" customHeight="false" outlineLevel="0" collapsed="false">
      <c r="A46" s="212" t="s">
        <v>93</v>
      </c>
      <c r="B46" s="213"/>
      <c r="C46" s="214" t="n">
        <v>3</v>
      </c>
      <c r="D46" s="215" t="str">
        <f aca="false">IF(ISERROR(VLOOKUP($A46,'[1]liste reference'!$A$7:$D$906,2,0)),IF(ISERROR(VLOOKUP($A46,'[1]liste reference'!$B$7:$D$906,1,0)),"",VLOOKUP($A46,'[1]liste reference'!$B$7:$D$906,1,0)),VLOOKUP($A46,'[1]liste reference'!$A$7:$D$906,2,0))</f>
        <v>Myriophyllum spicatum</v>
      </c>
      <c r="E46" s="215" t="e">
        <f aca="false">IF(D46="",0,VLOOKUP(D46,D$22:D45,1,0))</f>
        <v>#N/A</v>
      </c>
      <c r="F46" s="225" t="n">
        <f aca="false">($B46*$B$7+$C46*$C$7)/100</f>
        <v>0.9</v>
      </c>
      <c r="G46" s="217" t="str">
        <f aca="false">IF(A46="","",IF(ISERROR(VLOOKUP($A46,'[1]liste reference'!$A$7:$P$906,13,0)),IF(ISERROR(VLOOKUP($A46,'[1]liste reference'!$B$7:$P$906,12,0)),"    -",VLOOKUP($A46,'[1]liste reference'!$B$7:$P$906,12,0)),VLOOKUP($A46,'[1]liste reference'!$A$7:$P$906,13,0)))</f>
        <v>PHy</v>
      </c>
      <c r="H46" s="200" t="n">
        <f aca="false">IF(A46="","x",IF(ISERROR(VLOOKUP($A46,'[1]liste reference'!$A$7:$P$906,14,0)),IF(ISERROR(VLOOKUP($A46,'[1]liste reference'!$B$7:$P$906,13,0)),"x",VLOOKUP($A46,'[1]liste reference'!$B$7:$P$906,13,0)),VLOOKUP($A46,'[1]liste reference'!$A$7:$P$906,14,0)))</f>
        <v>7</v>
      </c>
      <c r="I46" s="218" t="n">
        <f aca="false">IF(ISNUMBER(H46),IF(ISERROR(VLOOKUP($A46,'[1]liste reference'!$A$7:$P$906,3,0)),IF(ISERROR(VLOOKUP($A46,'[1]liste reference'!$B$7:$P$906,2,0)),"",VLOOKUP($A46,'[1]liste reference'!$B$7:$P$906,2,0)),VLOOKUP($A46,'[1]liste reference'!$A$7:$P$906,3,0)),"")</f>
        <v>8</v>
      </c>
      <c r="J46" s="202" t="n">
        <f aca="false">IF(ISNUMBER(H46),IF(ISERROR(VLOOKUP($A46,'[1]liste reference'!$A$7:$P$906,4,0)),IF(ISERROR(VLOOKUP($A46,'[1]liste reference'!$B$7:$P$906,3,0)),"",VLOOKUP($A46,'[1]liste reference'!$B$7:$P$906,3,0)),VLOOKUP($A46,'[1]liste reference'!$A$7:$P$906,4,0)),"")</f>
        <v>2</v>
      </c>
      <c r="K46" s="219" t="str">
        <f aca="false">IF(A46="NEW.COD",AA46,IF(ISTEXT($E46),"DEJA SAISI !",IF(A46="","",IF(ISERROR(VLOOKUP($A46,'[1]liste reference'!$A$7:$D$906,2,0)),IF(ISERROR(VLOOKUP($A46,'[1]liste reference'!$B$7:$D$906,1,0)),"code non répertorié ou synonyme",VLOOKUP($A46,'[1]liste reference'!$B$7:$D$906,1,0)),VLOOKUP(A46,'[1]liste reference'!$A$7:$D$906,2,0)))))</f>
        <v>Myriophyllum spicatum</v>
      </c>
      <c r="L46" s="220"/>
      <c r="M46" s="220"/>
      <c r="N46" s="220"/>
      <c r="O46" s="205"/>
      <c r="P46" s="206" t="n">
        <f aca="false">IF(ISTEXT(H46),"",(B46*$B$7/100)+(C46*$C$7/100))</f>
        <v>0.9</v>
      </c>
      <c r="Q46" s="207" t="n">
        <f aca="false">IF(OR(ISTEXT(H46),P46=0),"",IF(P46&lt;0.1,1,IF(P46&lt;1,2,IF(P46&lt;10,3,IF(P46&lt;50,4,IF(P46&gt;=50,5,""))))))</f>
        <v>2</v>
      </c>
      <c r="R46" s="207" t="n">
        <f aca="false">IF(ISERROR(Q46*I46),0,Q46*I46)</f>
        <v>16</v>
      </c>
      <c r="S46" s="207" t="n">
        <f aca="false">IF(ISERROR(Q46*I46*J46),0,Q46*I46*J46)</f>
        <v>32</v>
      </c>
      <c r="T46" s="221" t="n">
        <f aca="false">IF(ISERROR(Q46*J46),0,Q46*J46)</f>
        <v>4</v>
      </c>
      <c r="U46" s="208" t="str">
        <f aca="false">IF(AND(A46="",F46=0),"",IF(F46=0,"Il manque le(s) % de rec. !",""))</f>
        <v/>
      </c>
      <c r="V46" s="209"/>
      <c r="X46" s="207" t="str">
        <f aca="false">IF(A46="new.cod","NEW.COD",IF(AND((Y46=""),ISTEXT(A46)),A46,IF(Y46="","",INDEX('[1]liste reference'!$A$7:$A$906,Y46))))</f>
        <v>MYR.SPI</v>
      </c>
      <c r="Y46" s="8" t="n">
        <f aca="false">IF(ISERROR(MATCH(A46,'[1]liste reference'!$A$7:$A$906,0)),IF(ISERROR(MATCH(A46,'[1]liste reference'!$B$7:$B$906,0)),"",(MATCH(A46,'[1]liste reference'!$B$7:$B$906,0))),(MATCH(A46,'[1]liste reference'!$A$7:$A$906,0)))</f>
        <v>377</v>
      </c>
      <c r="Z46" s="210"/>
      <c r="AA46" s="211"/>
      <c r="BB46" s="8" t="n">
        <f aca="false">IF(A46="","",1)</f>
        <v>1</v>
      </c>
    </row>
    <row r="47" customFormat="false" ht="12.75" hidden="false" customHeight="false" outlineLevel="0" collapsed="false">
      <c r="A47" s="212" t="s">
        <v>94</v>
      </c>
      <c r="B47" s="213"/>
      <c r="C47" s="214" t="n">
        <v>1</v>
      </c>
      <c r="D47" s="215" t="str">
        <f aca="false">IF(ISERROR(VLOOKUP($A47,'[1]liste reference'!$A$7:$D$906,2,0)),IF(ISERROR(VLOOKUP($A47,'[1]liste reference'!$B$7:$D$906,1,0)),"",VLOOKUP($A47,'[1]liste reference'!$B$7:$D$906,1,0)),VLOOKUP($A47,'[1]liste reference'!$A$7:$D$906,2,0))</f>
        <v>Phalaris arundinacea</v>
      </c>
      <c r="E47" s="215" t="e">
        <f aca="false">IF(D47="",0,VLOOKUP(D47,D$22:D46,1,0))</f>
        <v>#N/A</v>
      </c>
      <c r="F47" s="225" t="n">
        <f aca="false">($B47*$B$7+$C47*$C$7)/100</f>
        <v>0.3</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n">
        <f aca="false">IF(ISNUMBER(H47),IF(ISERROR(VLOOKUP($A47,'[1]liste reference'!$A$7:$P$906,3,0)),IF(ISERROR(VLOOKUP($A47,'[1]liste reference'!$B$7:$P$906,2,0)),"",VLOOKUP($A47,'[1]liste reference'!$B$7:$P$906,2,0)),VLOOKUP($A47,'[1]liste reference'!$A$7:$P$906,3,0)),"")</f>
        <v>10</v>
      </c>
      <c r="J47" s="202" t="n">
        <f aca="false">IF(ISNUMBER(H47),IF(ISERROR(VLOOKUP($A47,'[1]liste reference'!$A$7:$P$906,4,0)),IF(ISERROR(VLOOKUP($A47,'[1]liste reference'!$B$7:$P$906,3,0)),"",VLOOKUP($A47,'[1]liste reference'!$B$7:$P$906,3,0)),VLOOKUP($A47,'[1]liste reference'!$A$7:$P$906,4,0)),"")</f>
        <v>1</v>
      </c>
      <c r="K47" s="219" t="str">
        <f aca="false">IF(A47="NEW.COD",AA47,IF(ISTEXT($E47),"DEJA SAISI !",IF(A47="","",IF(ISERROR(VLOOKUP($A47,'[1]liste reference'!$A$7:$D$906,2,0)),IF(ISERROR(VLOOKUP($A47,'[1]liste reference'!$B$7:$D$906,1,0)),"code non répertorié ou synonyme",VLOOKUP($A47,'[1]liste reference'!$B$7:$D$906,1,0)),VLOOKUP(A47,'[1]liste reference'!$A$7:$D$906,2,0)))))</f>
        <v>Phalaris arundinacea</v>
      </c>
      <c r="L47" s="220"/>
      <c r="M47" s="220"/>
      <c r="N47" s="220"/>
      <c r="O47" s="205"/>
      <c r="P47" s="206" t="n">
        <f aca="false">IF(ISTEXT(H47),"",(B47*$B$7/100)+(C47*$C$7/100))</f>
        <v>0.3</v>
      </c>
      <c r="Q47" s="207" t="n">
        <f aca="false">IF(OR(ISTEXT(H47),P47=0),"",IF(P47&lt;0.1,1,IF(P47&lt;1,2,IF(P47&lt;10,3,IF(P47&lt;50,4,IF(P47&gt;=50,5,""))))))</f>
        <v>2</v>
      </c>
      <c r="R47" s="207" t="n">
        <f aca="false">IF(ISERROR(Q47*I47),0,Q47*I47)</f>
        <v>20</v>
      </c>
      <c r="S47" s="207" t="n">
        <f aca="false">IF(ISERROR(Q47*I47*J47),0,Q47*I47*J47)</f>
        <v>20</v>
      </c>
      <c r="T47" s="221" t="n">
        <f aca="false">IF(ISERROR(Q47*J47),0,Q47*J47)</f>
        <v>2</v>
      </c>
      <c r="U47" s="208" t="str">
        <f aca="false">IF(AND(A47="",F47=0),"",IF(F47=0,"Il manque le(s) % de rec. !",""))</f>
        <v/>
      </c>
      <c r="V47" s="209"/>
      <c r="X47" s="207" t="str">
        <f aca="false">IF(A47="new.cod","NEW.COD",IF(AND((Y47=""),ISTEXT(A47)),A47,IF(Y47="","",INDEX('[1]liste reference'!$A$7:$A$906,Y47))))</f>
        <v>PHA.ARU</v>
      </c>
      <c r="Y47" s="8" t="n">
        <f aca="false">IF(ISERROR(MATCH(A47,'[1]liste reference'!$A$7:$A$906,0)),IF(ISERROR(MATCH(A47,'[1]liste reference'!$B$7:$B$906,0)),"",(MATCH(A47,'[1]liste reference'!$B$7:$B$906,0))),(MATCH(A47,'[1]liste reference'!$A$7:$A$906,0)))</f>
        <v>640</v>
      </c>
      <c r="Z47" s="210"/>
      <c r="AA47" s="211"/>
      <c r="BB47" s="8" t="n">
        <f aca="false">IF(A47="","",1)</f>
        <v>1</v>
      </c>
    </row>
    <row r="48" customFormat="false" ht="12.75" hidden="false" customHeight="false" outlineLevel="0" collapsed="false">
      <c r="A48" s="212" t="s">
        <v>95</v>
      </c>
      <c r="B48" s="213"/>
      <c r="C48" s="214" t="n">
        <v>0.02</v>
      </c>
      <c r="D48" s="215" t="str">
        <f aca="false">IF(ISERROR(VLOOKUP($A48,'[1]liste reference'!$A$7:$D$906,2,0)),IF(ISERROR(VLOOKUP($A48,'[1]liste reference'!$B$7:$D$906,1,0)),"",VLOOKUP($A48,'[1]liste reference'!$B$7:$D$906,1,0)),VLOOKUP($A48,'[1]liste reference'!$A$7:$D$906,2,0))</f>
        <v>Polygonum sp.</v>
      </c>
      <c r="E48" s="215" t="e">
        <f aca="false">IF(D48="",0,VLOOKUP(D48,D$22:D47,1,0))</f>
        <v>#N/A</v>
      </c>
      <c r="F48" s="225" t="n">
        <f aca="false">($B48*$B$7+$C48*$C$7)/100</f>
        <v>0.006</v>
      </c>
      <c r="G48" s="217" t="str">
        <f aca="false">IF(A48="","",IF(ISERROR(VLOOKUP($A48,'[1]liste reference'!$A$7:$P$906,13,0)),IF(ISERROR(VLOOKUP($A48,'[1]liste reference'!$B$7:$P$906,12,0)),"    -",VLOOKUP($A48,'[1]liste reference'!$B$7:$P$906,12,0)),VLOOKUP($A48,'[1]liste reference'!$A$7:$P$906,13,0)))</f>
        <v>PHg</v>
      </c>
      <c r="H48" s="200" t="n">
        <f aca="false">IF(A48="","x",IF(ISERROR(VLOOKUP($A48,'[1]liste reference'!$A$7:$P$906,14,0)),IF(ISERROR(VLOOKUP($A48,'[1]liste reference'!$B$7:$P$906,13,0)),"x",VLOOKUP($A48,'[1]liste reference'!$B$7:$P$906,13,0)),VLOOKUP($A48,'[1]liste reference'!$A$7:$P$906,14,0)))</f>
        <v>9</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Polygonum sp.</v>
      </c>
      <c r="L48" s="220"/>
      <c r="M48" s="220"/>
      <c r="N48" s="220"/>
      <c r="O48" s="205"/>
      <c r="P48" s="206" t="n">
        <f aca="false">IF(ISTEXT(H48),"",(B48*$B$7/100)+(C48*$C$7/100))</f>
        <v>0.006</v>
      </c>
      <c r="Q48" s="207" t="n">
        <f aca="false">IF(OR(ISTEXT(H48),P48=0),"",IF(P48&lt;0.1,1,IF(P48&lt;1,2,IF(P48&lt;10,3,IF(P48&lt;50,4,IF(P48&gt;=50,5,""))))))</f>
        <v>1</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POL.SPX</v>
      </c>
      <c r="Y48" s="8" t="n">
        <f aca="false">IF(ISERROR(MATCH(A48,'[1]liste reference'!$A$7:$A$906,0)),IF(ISERROR(MATCH(A48,'[1]liste reference'!$B$7:$B$906,0)),"",(MATCH(A48,'[1]liste reference'!$B$7:$B$906,0))),(MATCH(A48,'[1]liste reference'!$A$7:$A$906,0)))</f>
        <v>806</v>
      </c>
      <c r="Z48" s="210"/>
      <c r="AA48" s="211"/>
      <c r="BB48" s="8" t="n">
        <f aca="false">IF(A48="","",1)</f>
        <v>1</v>
      </c>
    </row>
    <row r="49" customFormat="false" ht="12.75" hidden="false" customHeight="false" outlineLevel="0" collapsed="false">
      <c r="A49" s="212" t="s">
        <v>96</v>
      </c>
      <c r="B49" s="213" t="n">
        <v>5</v>
      </c>
      <c r="C49" s="214" t="n">
        <v>8</v>
      </c>
      <c r="D49" s="215" t="str">
        <f aca="false">IF(ISERROR(VLOOKUP($A49,'[1]liste reference'!$A$7:$D$906,2,0)),IF(ISERROR(VLOOKUP($A49,'[1]liste reference'!$B$7:$D$906,1,0)),"",VLOOKUP($A49,'[1]liste reference'!$B$7:$D$906,1,0)),VLOOKUP($A49,'[1]liste reference'!$A$7:$D$906,2,0))</f>
        <v>Ranunculus penicillatus var. penicillatus (R. penicillatus subsp. penicillatus)</v>
      </c>
      <c r="E49" s="215" t="e">
        <f aca="false">IF(D49="",0,VLOOKUP(D49,D$22:D48,1,0))</f>
        <v>#N/A</v>
      </c>
      <c r="F49" s="225" t="n">
        <f aca="false">($B49*$B$7+$C49*$C$7)/100</f>
        <v>5.9</v>
      </c>
      <c r="G49" s="217" t="str">
        <f aca="false">IF(A49="","",IF(ISERROR(VLOOKUP($A49,'[1]liste reference'!$A$7:$P$906,13,0)),IF(ISERROR(VLOOKUP($A49,'[1]liste reference'!$B$7:$P$906,12,0)),"    -",VLOOKUP($A49,'[1]liste reference'!$B$7:$P$906,12,0)),VLOOKUP($A49,'[1]liste reference'!$A$7:$P$906,13,0)))</f>
        <v>PHy</v>
      </c>
      <c r="H49" s="200" t="n">
        <f aca="false">IF(A49="","x",IF(ISERROR(VLOOKUP($A49,'[1]liste reference'!$A$7:$P$906,14,0)),IF(ISERROR(VLOOKUP($A49,'[1]liste reference'!$B$7:$P$906,13,0)),"x",VLOOKUP($A49,'[1]liste reference'!$B$7:$P$906,13,0)),VLOOKUP($A49,'[1]liste reference'!$A$7:$P$906,14,0)))</f>
        <v>7</v>
      </c>
      <c r="I49" s="218" t="n">
        <f aca="false">IF(ISNUMBER(H49),IF(ISERROR(VLOOKUP($A49,'[1]liste reference'!$A$7:$P$906,3,0)),IF(ISERROR(VLOOKUP($A49,'[1]liste reference'!$B$7:$P$906,2,0)),"",VLOOKUP($A49,'[1]liste reference'!$B$7:$P$906,2,0)),VLOOKUP($A49,'[1]liste reference'!$A$7:$P$906,3,0)),"")</f>
        <v>12</v>
      </c>
      <c r="J49" s="202" t="n">
        <f aca="false">IF(ISNUMBER(H49),IF(ISERROR(VLOOKUP($A49,'[1]liste reference'!$A$7:$P$906,4,0)),IF(ISERROR(VLOOKUP($A49,'[1]liste reference'!$B$7:$P$906,3,0)),"",VLOOKUP($A49,'[1]liste reference'!$B$7:$P$906,3,0)),VLOOKUP($A49,'[1]liste reference'!$A$7:$P$906,4,0)),"")</f>
        <v>1</v>
      </c>
      <c r="K49" s="219" t="str">
        <f aca="false">IF(A49="NEW.COD",AA49,IF(ISTEXT($E49),"DEJA SAISI !",IF(A49="","",IF(ISERROR(VLOOKUP($A49,'[1]liste reference'!$A$7:$D$906,2,0)),IF(ISERROR(VLOOKUP($A49,'[1]liste reference'!$B$7:$D$906,1,0)),"code non répertorié ou synonyme",VLOOKUP($A49,'[1]liste reference'!$B$7:$D$906,1,0)),VLOOKUP(A49,'[1]liste reference'!$A$7:$D$906,2,0)))))</f>
        <v>Ranunculus penicillatus var. penicillatus (R. penicillatus subsp. penicillatus)</v>
      </c>
      <c r="L49" s="220"/>
      <c r="M49" s="220"/>
      <c r="N49" s="220"/>
      <c r="O49" s="205" t="s">
        <v>97</v>
      </c>
      <c r="P49" s="206" t="n">
        <f aca="false">IF(ISTEXT(H49),"",(B49*$B$7/100)+(C49*$C$7/100))</f>
        <v>5.9</v>
      </c>
      <c r="Q49" s="207" t="n">
        <f aca="false">IF(OR(ISTEXT(H49),P49=0),"",IF(P49&lt;0.1,1,IF(P49&lt;1,2,IF(P49&lt;10,3,IF(P49&lt;50,4,IF(P49&gt;=50,5,""))))))</f>
        <v>3</v>
      </c>
      <c r="R49" s="207" t="n">
        <f aca="false">IF(ISERROR(Q49*I49),0,Q49*I49)</f>
        <v>36</v>
      </c>
      <c r="S49" s="207" t="n">
        <f aca="false">IF(ISERROR(Q49*I49*J49),0,Q49*I49*J49)</f>
        <v>36</v>
      </c>
      <c r="T49" s="221" t="n">
        <f aca="false">IF(ISERROR(Q49*J49),0,Q49*J49)</f>
        <v>3</v>
      </c>
      <c r="U49" s="208" t="str">
        <f aca="false">IF(AND(A49="",F49=0),"",IF(F49=0,"Il manque le(s) % de rec. !",""))</f>
        <v/>
      </c>
      <c r="V49" s="209"/>
      <c r="X49" s="207" t="str">
        <f aca="false">IF(A49="new.cod","NEW.COD",IF(AND((Y49=""),ISTEXT(A49)),A49,IF(Y49="","",INDEX('[1]liste reference'!$A$7:$A$906,Y49))))</f>
        <v>RAN.PEN</v>
      </c>
      <c r="Y49" s="8" t="n">
        <f aca="false">IF(ISERROR(MATCH(A49,'[1]liste reference'!$A$7:$A$906,0)),IF(ISERROR(MATCH(A49,'[1]liste reference'!$B$7:$B$906,0)),"",(MATCH(A49,'[1]liste reference'!$B$7:$B$906,0))),(MATCH(A49,'[1]liste reference'!$A$7:$A$906,0)))</f>
        <v>469</v>
      </c>
      <c r="Z49" s="210" t="s">
        <v>97</v>
      </c>
      <c r="AA49" s="211"/>
      <c r="BB49" s="8" t="n">
        <f aca="false">IF(A49="","",1)</f>
        <v>1</v>
      </c>
    </row>
    <row r="50" customFormat="false" ht="12.75" hidden="false" customHeight="false" outlineLevel="0" collapsed="false">
      <c r="A50" s="212" t="s">
        <v>98</v>
      </c>
      <c r="B50" s="213"/>
      <c r="C50" s="214" t="n">
        <v>0.05</v>
      </c>
      <c r="D50" s="215" t="str">
        <f aca="false">IF(ISERROR(VLOOKUP($A50,'[1]liste reference'!$A$7:$D$906,2,0)),IF(ISERROR(VLOOKUP($A50,'[1]liste reference'!$B$7:$D$906,1,0)),"",VLOOKUP($A50,'[1]liste reference'!$B$7:$D$906,1,0)),VLOOKUP($A50,'[1]liste reference'!$A$7:$D$906,2,0))</f>
        <v>Scirpus sylvaticus</v>
      </c>
      <c r="E50" s="215" t="e">
        <f aca="false">IF(D50="",0,VLOOKUP(D50,D$22:D49,1,0))</f>
        <v>#N/A</v>
      </c>
      <c r="F50" s="225" t="n">
        <f aca="false">($B50*$B$7+$C50*$C$7)/100</f>
        <v>0.015</v>
      </c>
      <c r="G50" s="217" t="str">
        <f aca="false">IF(A50="","",IF(ISERROR(VLOOKUP($A50,'[1]liste reference'!$A$7:$P$906,13,0)),IF(ISERROR(VLOOKUP($A50,'[1]liste reference'!$B$7:$P$906,12,0)),"    -",VLOOKUP($A50,'[1]liste reference'!$B$7:$P$906,12,0)),VLOOKUP($A50,'[1]liste reference'!$A$7:$P$906,13,0)))</f>
        <v>PHe</v>
      </c>
      <c r="H50" s="200" t="n">
        <f aca="false">IF(A50="","x",IF(ISERROR(VLOOKUP($A50,'[1]liste reference'!$A$7:$P$906,14,0)),IF(ISERROR(VLOOKUP($A50,'[1]liste reference'!$B$7:$P$906,13,0)),"x",VLOOKUP($A50,'[1]liste reference'!$B$7:$P$906,13,0)),VLOOKUP($A50,'[1]liste reference'!$A$7:$P$906,14,0)))</f>
        <v>8</v>
      </c>
      <c r="I50" s="218" t="n">
        <f aca="false">IF(ISNUMBER(H50),IF(ISERROR(VLOOKUP($A50,'[1]liste reference'!$A$7:$P$906,3,0)),IF(ISERROR(VLOOKUP($A50,'[1]liste reference'!$B$7:$P$906,2,0)),"",VLOOKUP($A50,'[1]liste reference'!$B$7:$P$906,2,0)),VLOOKUP($A50,'[1]liste reference'!$A$7:$P$906,3,0)),"")</f>
        <v>10</v>
      </c>
      <c r="J50" s="202" t="n">
        <f aca="false">IF(ISNUMBER(H50),IF(ISERROR(VLOOKUP($A50,'[1]liste reference'!$A$7:$P$906,4,0)),IF(ISERROR(VLOOKUP($A50,'[1]liste reference'!$B$7:$P$906,3,0)),"",VLOOKUP($A50,'[1]liste reference'!$B$7:$P$906,3,0)),VLOOKUP($A50,'[1]liste reference'!$A$7:$P$906,4,0)),"")</f>
        <v>2</v>
      </c>
      <c r="K50" s="219" t="str">
        <f aca="false">IF(A50="NEW.COD",AA50,IF(ISTEXT($E50),"DEJA SAISI !",IF(A50="","",IF(ISERROR(VLOOKUP($A50,'[1]liste reference'!$A$7:$D$906,2,0)),IF(ISERROR(VLOOKUP($A50,'[1]liste reference'!$B$7:$D$906,1,0)),"code non répertorié ou synonyme",VLOOKUP($A50,'[1]liste reference'!$B$7:$D$906,1,0)),VLOOKUP(A50,'[1]liste reference'!$A$7:$D$906,2,0)))))</f>
        <v>Scirpus sylvaticus</v>
      </c>
      <c r="L50" s="220"/>
      <c r="M50" s="220"/>
      <c r="N50" s="220"/>
      <c r="O50" s="205"/>
      <c r="P50" s="206" t="n">
        <f aca="false">IF(ISTEXT(H50),"",(B50*$B$7/100)+(C50*$C$7/100))</f>
        <v>0.015</v>
      </c>
      <c r="Q50" s="207" t="n">
        <f aca="false">IF(OR(ISTEXT(H50),P50=0),"",IF(P50&lt;0.1,1,IF(P50&lt;1,2,IF(P50&lt;10,3,IF(P50&lt;50,4,IF(P50&gt;=50,5,""))))))</f>
        <v>1</v>
      </c>
      <c r="R50" s="207" t="n">
        <f aca="false">IF(ISERROR(Q50*I50),0,Q50*I50)</f>
        <v>10</v>
      </c>
      <c r="S50" s="207" t="n">
        <f aca="false">IF(ISERROR(Q50*I50*J50),0,Q50*I50*J50)</f>
        <v>20</v>
      </c>
      <c r="T50" s="221" t="n">
        <f aca="false">IF(ISERROR(Q50*J50),0,Q50*J50)</f>
        <v>2</v>
      </c>
      <c r="U50" s="208" t="str">
        <f aca="false">IF(AND(A50="",F50=0),"",IF(F50=0,"Il manque le(s) % de rec. !",""))</f>
        <v/>
      </c>
      <c r="V50" s="209"/>
      <c r="X50" s="207" t="str">
        <f aca="false">IF(A50="new.cod","NEW.COD",IF(AND((Y50=""),ISTEXT(A50)),A50,IF(Y50="","",INDEX('[1]liste reference'!$A$7:$A$906,Y50))))</f>
        <v>SCI.SYL</v>
      </c>
      <c r="Y50" s="8" t="n">
        <f aca="false">IF(ISERROR(MATCH(A50,'[1]liste reference'!$A$7:$A$906,0)),IF(ISERROR(MATCH(A50,'[1]liste reference'!$B$7:$B$906,0)),"",(MATCH(A50,'[1]liste reference'!$B$7:$B$906,0))),(MATCH(A50,'[1]liste reference'!$A$7:$A$906,0)))</f>
        <v>671</v>
      </c>
      <c r="Z50" s="210"/>
      <c r="AA50" s="211"/>
      <c r="BB50" s="8" t="n">
        <f aca="false">IF(A50="","",1)</f>
        <v>1</v>
      </c>
    </row>
    <row r="51" customFormat="false" ht="12.75" hidden="false" customHeight="false" outlineLevel="0" collapsed="false">
      <c r="A51" s="212" t="s">
        <v>99</v>
      </c>
      <c r="B51" s="213"/>
      <c r="C51" s="214" t="n">
        <v>0.1</v>
      </c>
      <c r="D51" s="215" t="str">
        <f aca="false">IF(ISERROR(VLOOKUP($A51,'[1]liste reference'!$A$7:$D$906,2,0)),IF(ISERROR(VLOOKUP($A51,'[1]liste reference'!$B$7:$D$906,1,0)),"",VLOOKUP($A51,'[1]liste reference'!$B$7:$D$906,1,0)),VLOOKUP($A51,'[1]liste reference'!$A$7:$D$906,2,0))</f>
        <v>Typha latifolia</v>
      </c>
      <c r="E51" s="215" t="e">
        <f aca="false">IF(D51="",0,VLOOKUP(D51,D$22:D50,1,0))</f>
        <v>#N/A</v>
      </c>
      <c r="F51" s="225" t="n">
        <f aca="false">($B51*$B$7+$C51*$C$7)/100</f>
        <v>0.03</v>
      </c>
      <c r="G51" s="217" t="str">
        <f aca="false">IF(A51="","",IF(ISERROR(VLOOKUP($A51,'[1]liste reference'!$A$7:$P$906,13,0)),IF(ISERROR(VLOOKUP($A51,'[1]liste reference'!$B$7:$P$906,12,0)),"    -",VLOOKUP($A51,'[1]liste reference'!$B$7:$P$906,12,0)),VLOOKUP($A51,'[1]liste reference'!$A$7:$P$906,13,0)))</f>
        <v>PHe</v>
      </c>
      <c r="H51" s="200" t="n">
        <f aca="false">IF(A51="","x",IF(ISERROR(VLOOKUP($A51,'[1]liste reference'!$A$7:$P$906,14,0)),IF(ISERROR(VLOOKUP($A51,'[1]liste reference'!$B$7:$P$906,13,0)),"x",VLOOKUP($A51,'[1]liste reference'!$B$7:$P$906,13,0)),VLOOKUP($A51,'[1]liste reference'!$A$7:$P$906,14,0)))</f>
        <v>8</v>
      </c>
      <c r="I51" s="218" t="n">
        <f aca="false">IF(ISNUMBER(H51),IF(ISERROR(VLOOKUP($A51,'[1]liste reference'!$A$7:$P$906,3,0)),IF(ISERROR(VLOOKUP($A51,'[1]liste reference'!$B$7:$P$906,2,0)),"",VLOOKUP($A51,'[1]liste reference'!$B$7:$P$906,2,0)),VLOOKUP($A51,'[1]liste reference'!$A$7:$P$906,3,0)),"")</f>
        <v>8</v>
      </c>
      <c r="J51" s="202" t="n">
        <f aca="false">IF(ISNUMBER(H51),IF(ISERROR(VLOOKUP($A51,'[1]liste reference'!$A$7:$P$906,4,0)),IF(ISERROR(VLOOKUP($A51,'[1]liste reference'!$B$7:$P$906,3,0)),"",VLOOKUP($A51,'[1]liste reference'!$B$7:$P$906,3,0)),VLOOKUP($A51,'[1]liste reference'!$A$7:$P$906,4,0)),"")</f>
        <v>1</v>
      </c>
      <c r="K51" s="219" t="str">
        <f aca="false">IF(A51="NEW.COD",AA51,IF(ISTEXT($E51),"DEJA SAISI !",IF(A51="","",IF(ISERROR(VLOOKUP($A51,'[1]liste reference'!$A$7:$D$906,2,0)),IF(ISERROR(VLOOKUP($A51,'[1]liste reference'!$B$7:$D$906,1,0)),"code non répertorié ou synonyme",VLOOKUP($A51,'[1]liste reference'!$B$7:$D$906,1,0)),VLOOKUP(A51,'[1]liste reference'!$A$7:$D$906,2,0)))))</f>
        <v>Typha latifolia</v>
      </c>
      <c r="L51" s="220"/>
      <c r="M51" s="220"/>
      <c r="N51" s="220"/>
      <c r="O51" s="205"/>
      <c r="P51" s="206" t="n">
        <f aca="false">IF(ISTEXT(H51),"",(B51*$B$7/100)+(C51*$C$7/100))</f>
        <v>0.03</v>
      </c>
      <c r="Q51" s="207" t="n">
        <f aca="false">IF(OR(ISTEXT(H51),P51=0),"",IF(P51&lt;0.1,1,IF(P51&lt;1,2,IF(P51&lt;10,3,IF(P51&lt;50,4,IF(P51&gt;=50,5,""))))))</f>
        <v>1</v>
      </c>
      <c r="R51" s="207" t="n">
        <f aca="false">IF(ISERROR(Q51*I51),0,Q51*I51)</f>
        <v>8</v>
      </c>
      <c r="S51" s="207" t="n">
        <f aca="false">IF(ISERROR(Q51*I51*J51),0,Q51*I51*J51)</f>
        <v>8</v>
      </c>
      <c r="T51" s="221" t="n">
        <f aca="false">IF(ISERROR(Q51*J51),0,Q51*J51)</f>
        <v>1</v>
      </c>
      <c r="U51" s="208" t="str">
        <f aca="false">IF(AND(A51="",F51=0),"",IF(F51=0,"Il manque le(s) % de rec. !",""))</f>
        <v/>
      </c>
      <c r="V51" s="209"/>
      <c r="X51" s="207" t="str">
        <f aca="false">IF(A51="new.cod","NEW.COD",IF(AND((Y51=""),ISTEXT(A51)),A51,IF(Y51="","",INDEX('[1]liste reference'!$A$7:$A$906,Y51))))</f>
        <v>TYP.LAT</v>
      </c>
      <c r="Y51" s="8" t="n">
        <f aca="false">IF(ISERROR(MATCH(A51,'[1]liste reference'!$A$7:$A$906,0)),IF(ISERROR(MATCH(A51,'[1]liste reference'!$B$7:$B$906,0)),"",(MATCH(A51,'[1]liste reference'!$B$7:$B$906,0))),(MATCH(A51,'[1]liste reference'!$A$7:$A$906,0)))</f>
        <v>684</v>
      </c>
      <c r="Z51" s="210"/>
      <c r="AA51" s="211"/>
      <c r="BB51" s="8" t="n">
        <f aca="false">IF(A51="","",1)</f>
        <v>1</v>
      </c>
    </row>
    <row r="52" customFormat="false" ht="12.75" hidden="false" customHeight="false" outlineLevel="0" collapsed="false">
      <c r="A52" s="212" t="s">
        <v>100</v>
      </c>
      <c r="B52" s="213"/>
      <c r="C52" s="214" t="n">
        <v>0.03</v>
      </c>
      <c r="D52" s="215" t="str">
        <f aca="false">IF(ISERROR(VLOOKUP($A52,'[1]liste reference'!$A$7:$D$906,2,0)),IF(ISERROR(VLOOKUP($A52,'[1]liste reference'!$B$7:$D$906,1,0)),"",VLOOKUP($A52,'[1]liste reference'!$B$7:$D$906,1,0)),VLOOKUP($A52,'[1]liste reference'!$A$7:$D$906,2,0))</f>
        <v>Veronica beccabunga</v>
      </c>
      <c r="E52" s="215" t="e">
        <f aca="false">IF(D52="",0,VLOOKUP(D52,D$22:D51,1,0))</f>
        <v>#N/A</v>
      </c>
      <c r="F52" s="225" t="n">
        <f aca="false">($B52*$B$7+$C52*$C$7)/100</f>
        <v>0.009</v>
      </c>
      <c r="G52" s="217" t="str">
        <f aca="false">IF(A52="","",IF(ISERROR(VLOOKUP($A52,'[1]liste reference'!$A$7:$P$906,13,0)),IF(ISERROR(VLOOKUP($A52,'[1]liste reference'!$B$7:$P$906,12,0)),"    -",VLOOKUP($A52,'[1]liste reference'!$B$7:$P$906,12,0)),VLOOKUP($A52,'[1]liste reference'!$A$7:$P$906,13,0)))</f>
        <v>PHe</v>
      </c>
      <c r="H52" s="200" t="n">
        <f aca="false">IF(A52="","x",IF(ISERROR(VLOOKUP($A52,'[1]liste reference'!$A$7:$P$906,14,0)),IF(ISERROR(VLOOKUP($A52,'[1]liste reference'!$B$7:$P$906,13,0)),"x",VLOOKUP($A52,'[1]liste reference'!$B$7:$P$906,13,0)),VLOOKUP($A52,'[1]liste reference'!$A$7:$P$906,14,0)))</f>
        <v>8</v>
      </c>
      <c r="I52" s="218" t="n">
        <f aca="false">IF(ISNUMBER(H52),IF(ISERROR(VLOOKUP($A52,'[1]liste reference'!$A$7:$P$906,3,0)),IF(ISERROR(VLOOKUP($A52,'[1]liste reference'!$B$7:$P$906,2,0)),"",VLOOKUP($A52,'[1]liste reference'!$B$7:$P$906,2,0)),VLOOKUP($A52,'[1]liste reference'!$A$7:$P$906,3,0)),"")</f>
        <v>10</v>
      </c>
      <c r="J52" s="202" t="n">
        <f aca="false">IF(ISNUMBER(H52),IF(ISERROR(VLOOKUP($A52,'[1]liste reference'!$A$7:$P$906,4,0)),IF(ISERROR(VLOOKUP($A52,'[1]liste reference'!$B$7:$P$906,3,0)),"",VLOOKUP($A52,'[1]liste reference'!$B$7:$P$906,3,0)),VLOOKUP($A52,'[1]liste reference'!$A$7:$P$906,4,0)),"")</f>
        <v>1</v>
      </c>
      <c r="K52" s="219" t="str">
        <f aca="false">IF(A52="NEW.COD",AA52,IF(ISTEXT($E52),"DEJA SAISI !",IF(A52="","",IF(ISERROR(VLOOKUP($A52,'[1]liste reference'!$A$7:$D$906,2,0)),IF(ISERROR(VLOOKUP($A52,'[1]liste reference'!$B$7:$D$906,1,0)),"code non répertorié ou synonyme",VLOOKUP($A52,'[1]liste reference'!$B$7:$D$906,1,0)),VLOOKUP(A52,'[1]liste reference'!$A$7:$D$906,2,0)))))</f>
        <v>Veronica beccabunga</v>
      </c>
      <c r="L52" s="220"/>
      <c r="M52" s="220"/>
      <c r="N52" s="220"/>
      <c r="O52" s="205"/>
      <c r="P52" s="206" t="n">
        <f aca="false">IF(ISTEXT(H52),"",(B52*$B$7/100)+(C52*$C$7/100))</f>
        <v>0.009</v>
      </c>
      <c r="Q52" s="207" t="n">
        <f aca="false">IF(OR(ISTEXT(H52),P52=0),"",IF(P52&lt;0.1,1,IF(P52&lt;1,2,IF(P52&lt;10,3,IF(P52&lt;50,4,IF(P52&gt;=50,5,""))))))</f>
        <v>1</v>
      </c>
      <c r="R52" s="207" t="n">
        <f aca="false">IF(ISERROR(Q52*I52),0,Q52*I52)</f>
        <v>10</v>
      </c>
      <c r="S52" s="207" t="n">
        <f aca="false">IF(ISERROR(Q52*I52*J52),0,Q52*I52*J52)</f>
        <v>10</v>
      </c>
      <c r="T52" s="221" t="n">
        <f aca="false">IF(ISERROR(Q52*J52),0,Q52*J52)</f>
        <v>1</v>
      </c>
      <c r="U52" s="208" t="str">
        <f aca="false">IF(AND(A52="",F52=0),"",IF(F52=0,"Il manque le(s) % de rec. !",""))</f>
        <v/>
      </c>
      <c r="V52" s="209"/>
      <c r="X52" s="207" t="str">
        <f aca="false">IF(A52="new.cod","NEW.COD",IF(AND((Y52=""),ISTEXT(A52)),A52,IF(Y52="","",INDEX('[1]liste reference'!$A$7:$A$906,Y52))))</f>
        <v>VER.BEC</v>
      </c>
      <c r="Y52" s="8" t="n">
        <f aca="false">IF(ISERROR(MATCH(A52,'[1]liste reference'!$A$7:$A$906,0)),IF(ISERROR(MATCH(A52,'[1]liste reference'!$B$7:$B$906,0)),"",(MATCH(A52,'[1]liste reference'!$B$7:$B$906,0))),(MATCH(A52,'[1]liste reference'!$A$7:$A$906,0)))</f>
        <v>690</v>
      </c>
      <c r="Z52" s="210"/>
      <c r="AA52" s="211"/>
      <c r="BB52" s="8" t="n">
        <f aca="false">IF(A52="","",1)</f>
        <v>1</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101</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LOIRE</v>
      </c>
      <c r="B84" s="245" t="str">
        <f aca="false">C3</f>
        <v>Malvalette/Aubaignes</v>
      </c>
      <c r="C84" s="246" t="n">
        <f aca="false">A4</f>
        <v>39342</v>
      </c>
      <c r="D84" s="247" t="n">
        <f aca="false">IF(ISERROR(SUM($S$23:$S$82)/SUM($T$23:$T$82)),"",SUM($S$23:$S$82)/SUM($T$23:$T$82))</f>
        <v>10.536231884058</v>
      </c>
      <c r="E84" s="248" t="n">
        <f aca="false">N13</f>
        <v>28</v>
      </c>
      <c r="F84" s="245" t="n">
        <f aca="false">N14</f>
        <v>24</v>
      </c>
      <c r="G84" s="245" t="n">
        <f aca="false">N15</f>
        <v>11</v>
      </c>
      <c r="H84" s="245" t="n">
        <f aca="false">N16</f>
        <v>12</v>
      </c>
      <c r="I84" s="245" t="n">
        <f aca="false">N17</f>
        <v>1</v>
      </c>
      <c r="J84" s="249" t="n">
        <f aca="false">N8</f>
        <v>10.375</v>
      </c>
      <c r="K84" s="247" t="n">
        <f aca="false">N9</f>
        <v>3.09013155763282</v>
      </c>
      <c r="L84" s="248" t="n">
        <f aca="false">N10</f>
        <v>4</v>
      </c>
      <c r="M84" s="248" t="n">
        <f aca="false">N11</f>
        <v>16</v>
      </c>
      <c r="N84" s="247" t="n">
        <f aca="false">O8</f>
        <v>1.58333333333333</v>
      </c>
      <c r="O84" s="247" t="n">
        <f aca="false">O9</f>
        <v>0.583592075121765</v>
      </c>
      <c r="P84" s="248" t="n">
        <f aca="false">O10</f>
        <v>1</v>
      </c>
      <c r="Q84" s="248" t="n">
        <f aca="false">O11</f>
        <v>3</v>
      </c>
      <c r="R84" s="250" t="n">
        <f aca="false">F21</f>
        <v>24.697</v>
      </c>
      <c r="S84" s="248" t="n">
        <f aca="false">K11</f>
        <v>0</v>
      </c>
      <c r="T84" s="248" t="n">
        <f aca="false">K12</f>
        <v>11</v>
      </c>
      <c r="U84" s="248" t="n">
        <f aca="false">K13</f>
        <v>6</v>
      </c>
      <c r="V84" s="251" t="n">
        <f aca="false">K14</f>
        <v>0</v>
      </c>
      <c r="W84" s="252" t="n">
        <f aca="false">K15</f>
        <v>9</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102</v>
      </c>
      <c r="Q86" s="8"/>
      <c r="R86" s="208"/>
      <c r="S86" s="8"/>
      <c r="T86" s="8"/>
      <c r="U86" s="8"/>
    </row>
    <row r="87" customFormat="false" ht="12.75" hidden="true" customHeight="false" outlineLevel="0" collapsed="false">
      <c r="P87" s="8" t="s">
        <v>103</v>
      </c>
      <c r="Q87" s="8"/>
      <c r="R87" s="208" t="n">
        <f aca="false">VLOOKUP(MAX($R$23:$R$82),($R$23:$T$82),1,0)</f>
        <v>45</v>
      </c>
      <c r="S87" s="8"/>
      <c r="T87" s="8"/>
      <c r="U87" s="8"/>
    </row>
    <row r="88" customFormat="false" ht="12.75" hidden="true" customHeight="false" outlineLevel="0" collapsed="false">
      <c r="P88" s="8" t="s">
        <v>104</v>
      </c>
      <c r="Q88" s="8"/>
      <c r="R88" s="208" t="n">
        <f aca="false">VLOOKUP((R87),($R$23:$T$82),2,0)</f>
        <v>90</v>
      </c>
      <c r="S88" s="8"/>
      <c r="T88" s="8"/>
      <c r="U88" s="8"/>
    </row>
    <row r="89" customFormat="false" ht="12.75" hidden="true" customHeight="false" outlineLevel="0" collapsed="false">
      <c r="P89" s="8" t="s">
        <v>105</v>
      </c>
      <c r="Q89" s="8"/>
      <c r="R89" s="208" t="n">
        <f aca="false">VLOOKUP((R87),($R$23:$T$82),3,0)</f>
        <v>6</v>
      </c>
      <c r="S89" s="8"/>
    </row>
    <row r="90" customFormat="false" ht="12.75" hidden="true" customHeight="false" outlineLevel="0" collapsed="false">
      <c r="P90" s="8" t="s">
        <v>106</v>
      </c>
      <c r="Q90" s="8"/>
      <c r="R90" s="254" t="n">
        <f aca="false">IF(ISERROR(SUM($S$23:$S$82)/SUM($T$23:$T$82)),"",(SUM($S$23:$S$82)-R88)/(SUM($T$23:$T$82)-R89))</f>
        <v>10.1111111111111</v>
      </c>
      <c r="S90" s="8"/>
    </row>
    <row r="91" customFormat="false" ht="12.75" hidden="true" customHeight="false" outlineLevel="0" collapsed="false">
      <c r="P91" s="207" t="s">
        <v>107</v>
      </c>
      <c r="Q91" s="207"/>
      <c r="R91" s="207" t="str">
        <f aca="false">INDEX('[1]liste reference'!$A$7:$A$906,$S$91)</f>
        <v>HIL.SPX</v>
      </c>
      <c r="S91" s="8" t="n">
        <f aca="false">IF(ISERROR(MATCH($R$93,'[1]liste reference'!$A$7:$A$906,0)),MATCH($R$93,'[1]liste reference'!$B$7:$B$906,0),(MATCH($R$93,'[1]liste reference'!$A$7:$A$906,0)))</f>
        <v>31</v>
      </c>
      <c r="T91" s="243"/>
    </row>
    <row r="92" customFormat="false" ht="12.75" hidden="true" customHeight="false" outlineLevel="0" collapsed="false">
      <c r="P92" s="8" t="s">
        <v>108</v>
      </c>
      <c r="Q92" s="8"/>
      <c r="R92" s="8" t="n">
        <f aca="false">MATCH(R87,$R$23:$R$82,0)</f>
        <v>3</v>
      </c>
      <c r="S92" s="8"/>
    </row>
    <row r="93" customFormat="false" ht="12.75" hidden="true" customHeight="false" outlineLevel="0" collapsed="false">
      <c r="P93" s="207" t="s">
        <v>109</v>
      </c>
      <c r="Q93" s="8"/>
      <c r="R93" s="207" t="str">
        <f aca="false">INDEX($A$23:$A$82,$R$92)</f>
        <v>HIL.SPX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2024-01-10T09:48:37Z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