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4559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'04004559'!$A$1:$O$82</definedName>
    <definedName function="false" hidden="false" localSheetId="0" name="Excel_BuiltIn__FilterDatabase" vbProcedure="false">'04004559'!$A$23:$J$84</definedName>
    <definedName function="false" hidden="false" localSheetId="0" name="NOM" vbProcedure="false">'04004559'!$H$1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<sst xmlns="http://schemas.openxmlformats.org/spreadsheetml/2006/main" count="119" uniqueCount="112">
  <si>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</si>
  <si>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</si>
  <si>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</si>
  <si>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Laetitia BLANCHARD, Rémy MARCEL</t>
  </si>
  <si>
    <t xml:space="preserve">conforme AFNOR T90-395 oct. 2003</t>
  </si>
  <si>
    <t xml:space="preserve">LA SEMÈNE</t>
  </si>
  <si>
    <t xml:space="preserve">SEMENE à AUREC-SUR-LOIRE</t>
  </si>
  <si>
    <t xml:space="preserve">04004559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</si>
  <si>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</si>
  <si>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</si>
  <si>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</si>
  <si>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</si>
  <si>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</si>
  <si>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</si>
  <si>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</si>
  <si>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</si>
  <si>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PHOSPX</t>
  </si>
  <si>
    <t xml:space="preserve">Faciès dominant</t>
  </si>
  <si>
    <t xml:space="preserve">rapide</t>
  </si>
  <si>
    <t xml:space="preserve">ch. lotique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</si>
  <si>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</si>
  <si>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</si>
  <si>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</si>
  <si>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</si>
  <si>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</si>
  <si>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</si>
  <si>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</si>
  <si>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</si>
  <si>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</si>
  <si>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</si>
  <si>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</si>
  <si>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</si>
  <si>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</si>
  <si>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</si>
  <si>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</si>
  <si>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</si>
  <si>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</si>
  <si>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</si>
  <si>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</si>
  <si>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</si>
  <si>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</si>
  <si>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</si>
  <si>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</si>
  <si>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</si>
  <si>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</si>
  <si>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</si>
  <si>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</si>
  <si>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</si>
  <si>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</si>
  <si>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</si>
  <si>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</si>
  <si>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</si>
  <si>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</si>
  <si>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</si>
  <si>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</si>
  <si>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</si>
  <si>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</si>
  <si>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</si>
  <si>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</si>
  <si>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(0,788350006937981 %)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</si>
  <si>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</si>
  <si>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</si>
  <si>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</si>
  <si>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</si>
  <si>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</si>
  <si>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</si>
  <si>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</si>
  <si>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</si>
  <si>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</si>
  <si>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</si>
  <si>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</si>
  <si>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</si>
  <si>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</si>
  <si>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</si>
  <si>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</si>
  <si>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</si>
  <si>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</si>
  <si>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</si>
  <si>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</si>
  <si>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SOADUL</t>
  </si>
  <si>
    <t xml:space="preserve">DERWEB</t>
  </si>
  <si>
    <t xml:space="preserve">FONSQU</t>
  </si>
  <si>
    <t xml:space="preserve">CHIPOL</t>
  </si>
  <si>
    <t xml:space="preserve">Newcod</t>
  </si>
  <si>
    <t xml:space="preserve">Paralemanea sp.</t>
  </si>
  <si>
    <t xml:space="preserve">AUDSPX</t>
  </si>
  <si>
    <t xml:space="preserve">Rorippa sylvestris</t>
  </si>
  <si>
    <t xml:space="preserve">PELSPX</t>
  </si>
  <si>
    <t xml:space="preserve">LUNCRU</t>
  </si>
  <si>
    <t xml:space="preserve">POLHYD</t>
  </si>
  <si>
    <t xml:space="preserve">Heteroleibleinia sp.</t>
  </si>
  <si>
    <t xml:space="preserve">MELSPX</t>
  </si>
  <si>
    <t xml:space="preserve">VAUSPX</t>
  </si>
  <si>
    <t xml:space="preserve">BRYPSE</t>
  </si>
  <si>
    <t xml:space="preserve">NOSSPX</t>
  </si>
  <si>
    <t xml:space="preserve">ATHFIL</t>
  </si>
  <si>
    <t xml:space="preserve">PHAARU</t>
  </si>
  <si>
    <t xml:space="preserve">SCSRIV</t>
  </si>
  <si>
    <t xml:space="preserve">RHYRIP</t>
  </si>
  <si>
    <t xml:space="preserve">BRARIV</t>
  </si>
  <si>
    <t xml:space="preserve">AMBFLU</t>
  </si>
  <si>
    <t xml:space="preserve">AGRSTO</t>
  </si>
  <si>
    <t xml:space="preserve">Cf.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</si>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</sst>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9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41862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12.7333333333333</v>
      </c>
      <c r="M5" s="52"/>
      <c r="N5" s="53" t="s">
        <v>16</v>
      </c>
      <c r="O5" s="54" t="n">
        <v>12.6923076923077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19</v>
      </c>
      <c r="D6" s="45"/>
      <c r="E6" s="45"/>
      <c r="F6" s="46"/>
      <c r="G6" s="47"/>
      <c r="H6" s="45"/>
      <c r="I6" s="57" t="s">
        <v>20</v>
      </c>
      <c r="J6" s="58"/>
      <c r="K6" s="59"/>
      <c r="L6" s="60" t="s">
        <v>21</v>
      </c>
      <c r="M6" s="61"/>
      <c r="N6" s="62" t="s">
        <v>22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23</v>
      </c>
      <c r="B7" s="65" t="n">
        <v>65</v>
      </c>
      <c r="C7" s="66" t="n">
        <v>35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24</v>
      </c>
      <c r="O7" s="76" t="s">
        <v>25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26</v>
      </c>
      <c r="B8" s="78"/>
      <c r="C8" s="78"/>
      <c r="D8" s="67"/>
      <c r="E8" s="67"/>
      <c r="F8" s="79" t="s">
        <v>27</v>
      </c>
      <c r="G8" s="80"/>
      <c r="H8" s="81"/>
      <c r="I8" s="70"/>
      <c r="J8" s="71"/>
      <c r="K8" s="72"/>
      <c r="L8" s="73"/>
      <c r="M8" s="82" t="s">
        <v>28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29</v>
      </c>
      <c r="B9" s="85" t="n">
        <v>0.5</v>
      </c>
      <c r="C9" s="86" t="n">
        <v>0.5</v>
      </c>
      <c r="D9" s="87"/>
      <c r="E9" s="87"/>
      <c r="F9" s="88" t="n">
        <f aca="false">($B9*$B$7+$C9*$C$7)/100</f>
        <v>0.5</v>
      </c>
      <c r="G9" s="89"/>
      <c r="H9" s="90"/>
      <c r="I9" s="91"/>
      <c r="J9" s="92"/>
      <c r="K9" s="72"/>
      <c r="L9" s="93"/>
      <c r="M9" s="82" t="s">
        <v>30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31</v>
      </c>
      <c r="B10" s="97"/>
      <c r="C10" s="98"/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38</v>
      </c>
      <c r="J12" s="120"/>
      <c r="K12" s="114" t="n">
        <f aca="false">COUNTIF($G$23:$G$82,"=ALG")</f>
        <v>0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23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/>
      <c r="C18" s="145"/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0.879000008106232</v>
      </c>
      <c r="C20" s="165" t="n">
        <f aca="false">SUM(C23:C82)</f>
        <v>0.620000004768372</v>
      </c>
      <c r="D20" s="166"/>
      <c r="E20" s="167" t="s">
        <v>53</v>
      </c>
      <c r="F20" s="168" t="n">
        <f aca="false">($B20*$B$7+$C20*$C$7)/100</f>
        <v>0.788350006937981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0.571350005269051</v>
      </c>
      <c r="C21" s="178" t="n">
        <f aca="false">C20*C7/100</f>
        <v>0.21700000166893</v>
      </c>
      <c r="D21" s="110" t="str">
        <f aca="false">IF(F21=0,"",IF((ABS(F21-F19))&gt;(0.2*F21),CONCATENATE(" rec. par taxa (",F21," %) supérieur à 20 % !"),""))</f>
        <v> rec. par taxa (0,788350006937981 %)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0.788350006937981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79</v>
      </c>
      <c r="B23" s="203" t="n">
        <v>0</v>
      </c>
      <c r="C23" s="204" t="n">
        <v>0.00999999977648258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0.0034999999217689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SOADUL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80</v>
      </c>
      <c r="B24" s="221" t="n">
        <v>0</v>
      </c>
      <c r="C24" s="222" t="n">
        <v>0.00999999977648258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0.0034999999217689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DERWEB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81</v>
      </c>
      <c r="B25" s="221" t="n">
        <v>0.00999999977648258</v>
      </c>
      <c r="C25" s="222" t="n">
        <v>0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0.00649999985471368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FONSQU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82</v>
      </c>
      <c r="B26" s="221" t="n">
        <v>0.00999999977648258</v>
      </c>
      <c r="C26" s="222" t="n">
        <v>0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0.00649999985471368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CHIPOL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83</v>
      </c>
      <c r="B27" s="221" t="n">
        <v>0.00999999977648258</v>
      </c>
      <c r="C27" s="222" t="n">
        <v>0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0.00649999985471368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>No</v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Newcod</v>
      </c>
      <c r="Z27" s="9" t="str">
        <f aca="false">IF(ISERROR(MATCH(A27,,0)),IF(ISERROR(MATCH(A27,,0)),"",(MATCH(A27,,0))),(MATCH(A27,,0)))</f>
        <v/>
      </c>
      <c r="AA27" s="218"/>
      <c r="AB27" s="220" t="s">
        <v>84</v>
      </c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85</v>
      </c>
      <c r="B28" s="221" t="n">
        <v>0.00999999977648258</v>
      </c>
      <c r="C28" s="222" t="n">
        <v>0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0.00649999985471368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AUDSPX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83</v>
      </c>
      <c r="B29" s="221" t="n">
        <v>0.00999999977648258</v>
      </c>
      <c r="C29" s="222" t="n">
        <v>0.00999999977648258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0.00999999977648258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>No</v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Newcod</v>
      </c>
      <c r="Z29" s="9" t="str">
        <f aca="false">IF(ISERROR(MATCH(A29,,0)),IF(ISERROR(MATCH(A29,,0)),"",(MATCH(A29,,0))),(MATCH(A29,,0)))</f>
        <v/>
      </c>
      <c r="AA29" s="218"/>
      <c r="AB29" s="220" t="s">
        <v>86</v>
      </c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87</v>
      </c>
      <c r="B30" s="221" t="n">
        <v>0.00999999977648258</v>
      </c>
      <c r="C30" s="222" t="n">
        <v>0.00999999977648258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0.00999999977648258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PELSPX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88</v>
      </c>
      <c r="B31" s="221" t="n">
        <v>0.00999999977648258</v>
      </c>
      <c r="C31" s="222" t="n">
        <v>0.00999999977648258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0.00999999977648258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LUNCRU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89</v>
      </c>
      <c r="B32" s="221" t="n">
        <v>0.00999999977648258</v>
      </c>
      <c r="C32" s="222" t="n">
        <v>0.00999999977648258</v>
      </c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0.00999999977648258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POLHYD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83</v>
      </c>
      <c r="B33" s="221" t="n">
        <v>0.00999999977648258</v>
      </c>
      <c r="C33" s="222" t="n">
        <v>0</v>
      </c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0.00649999985471368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>No</v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Newcod</v>
      </c>
      <c r="Z33" s="9" t="str">
        <f aca="false">IF(ISERROR(MATCH(A33,,0)),IF(ISERROR(MATCH(A33,,0)),"",(MATCH(A33,,0))),(MATCH(A33,,0)))</f>
        <v/>
      </c>
      <c r="AA33" s="218"/>
      <c r="AB33" s="220" t="s">
        <v>90</v>
      </c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 t="s">
        <v>91</v>
      </c>
      <c r="B34" s="221" t="n">
        <v>0.00999999977648258</v>
      </c>
      <c r="C34" s="222" t="n">
        <v>0</v>
      </c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0.00649999985471368</v>
      </c>
      <c r="G34" s="208" t="str">
        <f aca="false">IF(A34="","",IF(ISERROR(VLOOKUP($A34,,13,0)),IF(ISERROR(VLOOKUP($A34,,12,0)),"    -",VLOOKUP($A34,,12,0)),VLOOKUP($A34,,13,0)))</f>
        <v>    -</v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>MELSPX</v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n">
        <f aca="false">IF(A34="","",1)</f>
        <v>1</v>
      </c>
    </row>
    <row r="35" customFormat="false" ht="12.75" hidden="false" customHeight="false" outlineLevel="0" collapsed="false">
      <c r="A35" s="220" t="s">
        <v>92</v>
      </c>
      <c r="B35" s="221" t="n">
        <v>0.00999999977648258</v>
      </c>
      <c r="C35" s="222" t="n">
        <v>0</v>
      </c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0.00649999985471368</v>
      </c>
      <c r="G35" s="208" t="str">
        <f aca="false">IF(A35="","",IF(ISERROR(VLOOKUP($A35,,13,0)),IF(ISERROR(VLOOKUP($A35,,12,0)),"    -",VLOOKUP($A35,,12,0)),VLOOKUP($A35,,13,0)))</f>
        <v>    -</v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>VAUSPX</v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n">
        <f aca="false">IF(A35="","",1)</f>
        <v>1</v>
      </c>
    </row>
    <row r="36" customFormat="false" ht="12.75" hidden="false" customHeight="false" outlineLevel="0" collapsed="false">
      <c r="A36" s="220" t="s">
        <v>93</v>
      </c>
      <c r="B36" s="221" t="n">
        <v>0.00999999977648258</v>
      </c>
      <c r="C36" s="222" t="n">
        <v>0</v>
      </c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0.00649999985471368</v>
      </c>
      <c r="G36" s="208" t="str">
        <f aca="false">IF(A36="","",IF(ISERROR(VLOOKUP($A36,,13,0)),IF(ISERROR(VLOOKUP($A36,,12,0)),"    -",VLOOKUP($A36,,12,0)),VLOOKUP($A36,,13,0)))</f>
        <v>    -</v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>BRYPSE</v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n">
        <f aca="false">IF(A36="","",1)</f>
        <v>1</v>
      </c>
    </row>
    <row r="37" customFormat="false" ht="12.75" hidden="false" customHeight="false" outlineLevel="0" collapsed="false">
      <c r="A37" s="220" t="s">
        <v>94</v>
      </c>
      <c r="B37" s="221" t="n">
        <v>0.00999999977648258</v>
      </c>
      <c r="C37" s="222" t="n">
        <v>0</v>
      </c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0.00649999985471368</v>
      </c>
      <c r="G37" s="208" t="str">
        <f aca="false">IF(A37="","",IF(ISERROR(VLOOKUP($A37,,13,0)),IF(ISERROR(VLOOKUP($A37,,12,0)),"    -",VLOOKUP($A37,,12,0)),VLOOKUP($A37,,13,0)))</f>
        <v>    -</v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>code non répertorié ou synonyme</v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>NOSSPX</v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n">
        <f aca="false">IF(A37="","",1)</f>
        <v>1</v>
      </c>
    </row>
    <row r="38" customFormat="false" ht="12.75" hidden="false" customHeight="false" outlineLevel="0" collapsed="false">
      <c r="A38" s="220" t="s">
        <v>95</v>
      </c>
      <c r="B38" s="221" t="n">
        <v>0.00999999977648258</v>
      </c>
      <c r="C38" s="222" t="n">
        <v>0.00999999977648258</v>
      </c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0.00999999977648258</v>
      </c>
      <c r="G38" s="208" t="str">
        <f aca="false">IF(A38="","",IF(ISERROR(VLOOKUP($A38,,13,0)),IF(ISERROR(VLOOKUP($A38,,12,0)),"    -",VLOOKUP($A38,,12,0)),VLOOKUP($A38,,13,0)))</f>
        <v>    -</v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>code non répertorié ou synonyme</v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>ATHFIL</v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n">
        <f aca="false">IF(A38="","",1)</f>
        <v>1</v>
      </c>
    </row>
    <row r="39" customFormat="false" ht="12.75" hidden="false" customHeight="false" outlineLevel="0" collapsed="false">
      <c r="A39" s="220" t="s">
        <v>96</v>
      </c>
      <c r="B39" s="221" t="n">
        <v>0.00999999977648258</v>
      </c>
      <c r="C39" s="222" t="n">
        <v>0.100000001490116</v>
      </c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0.0415000003762543</v>
      </c>
      <c r="G39" s="208" t="str">
        <f aca="false">IF(A39="","",IF(ISERROR(VLOOKUP($A39,,13,0)),IF(ISERROR(VLOOKUP($A39,,12,0)),"    -",VLOOKUP($A39,,12,0)),VLOOKUP($A39,,13,0)))</f>
        <v>    -</v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>code non répertorié ou synonyme</v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>PHAARU</v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n">
        <f aca="false">IF(A39="","",1)</f>
        <v>1</v>
      </c>
    </row>
    <row r="40" customFormat="false" ht="12.75" hidden="false" customHeight="false" outlineLevel="0" collapsed="false">
      <c r="A40" s="220" t="s">
        <v>97</v>
      </c>
      <c r="B40" s="221" t="n">
        <v>0.00999999977648258</v>
      </c>
      <c r="C40" s="222" t="n">
        <v>0</v>
      </c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0.00649999985471368</v>
      </c>
      <c r="G40" s="208" t="str">
        <f aca="false">IF(A40="","",IF(ISERROR(VLOOKUP($A40,,13,0)),IF(ISERROR(VLOOKUP($A40,,12,0)),"    -",VLOOKUP($A40,,12,0)),VLOOKUP($A40,,13,0)))</f>
        <v>    -</v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>code non répertorié ou synonyme</v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>SCSRIV</v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n">
        <f aca="false">IF(A40="","",1)</f>
        <v>1</v>
      </c>
    </row>
    <row r="41" customFormat="false" ht="12.75" hidden="false" customHeight="false" outlineLevel="0" collapsed="false">
      <c r="A41" s="220" t="s">
        <v>98</v>
      </c>
      <c r="B41" s="221" t="n">
        <v>0.100000001490116</v>
      </c>
      <c r="C41" s="222" t="n">
        <v>0.00999999977648258</v>
      </c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0.0685000008903444</v>
      </c>
      <c r="G41" s="208" t="str">
        <f aca="false">IF(A41="","",IF(ISERROR(VLOOKUP($A41,,13,0)),IF(ISERROR(VLOOKUP($A41,,12,0)),"    -",VLOOKUP($A41,,12,0)),VLOOKUP($A41,,13,0)))</f>
        <v>    -</v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>code non répertorié ou synonyme</v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>RHYRIP</v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n">
        <f aca="false">IF(A41="","",1)</f>
        <v>1</v>
      </c>
    </row>
    <row r="42" customFormat="false" ht="12.75" hidden="false" customHeight="false" outlineLevel="0" collapsed="false">
      <c r="A42" s="220" t="s">
        <v>99</v>
      </c>
      <c r="B42" s="221" t="n">
        <v>0.100000001490116</v>
      </c>
      <c r="C42" s="222" t="n">
        <v>0.00999999977648258</v>
      </c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0.0685000008903444</v>
      </c>
      <c r="G42" s="208" t="str">
        <f aca="false">IF(A42="","",IF(ISERROR(VLOOKUP($A42,,13,0)),IF(ISERROR(VLOOKUP($A42,,12,0)),"    -",VLOOKUP($A42,,12,0)),VLOOKUP($A42,,13,0)))</f>
        <v>    -</v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>code non répertorié ou synonyme</v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>BRARIV</v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n">
        <f aca="false">IF(A42="","",1)</f>
        <v>1</v>
      </c>
    </row>
    <row r="43" customFormat="false" ht="12.75" hidden="false" customHeight="false" outlineLevel="0" collapsed="false">
      <c r="A43" s="220" t="s">
        <v>100</v>
      </c>
      <c r="B43" s="221" t="n">
        <v>0.109999999403954</v>
      </c>
      <c r="C43" s="222" t="n">
        <v>0.0199999995529652</v>
      </c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0.0784999994561076</v>
      </c>
      <c r="G43" s="208" t="str">
        <f aca="false">IF(A43="","",IF(ISERROR(VLOOKUP($A43,,13,0)),IF(ISERROR(VLOOKUP($A43,,12,0)),"    -",VLOOKUP($A43,,12,0)),VLOOKUP($A43,,13,0)))</f>
        <v>    -</v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>code non répertorié ou synonyme</v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>AMBFLU</v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n">
        <f aca="false">IF(A43="","",1)</f>
        <v>1</v>
      </c>
    </row>
    <row r="44" customFormat="false" ht="12.75" hidden="false" customHeight="false" outlineLevel="0" collapsed="false">
      <c r="A44" s="220" t="s">
        <v>101</v>
      </c>
      <c r="B44" s="221" t="n">
        <v>0.200000002980232</v>
      </c>
      <c r="C44" s="222" t="n">
        <v>0.400000005960465</v>
      </c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0.270000004023314</v>
      </c>
      <c r="G44" s="208" t="str">
        <f aca="false">IF(A44="","",IF(ISERROR(VLOOKUP($A44,,13,0)),IF(ISERROR(VLOOKUP($A44,,12,0)),"    -",VLOOKUP($A44,,12,0)),VLOOKUP($A44,,13,0)))</f>
        <v>    -</v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>code non répertorié ou synonyme</v>
      </c>
      <c r="L44" s="225"/>
      <c r="M44" s="225"/>
      <c r="N44" s="225"/>
      <c r="O44" s="213" t="s">
        <v>102</v>
      </c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>AGRSTO</v>
      </c>
      <c r="Z44" s="9" t="str">
        <f aca="false">IF(ISERROR(MATCH(A44,,0)),IF(ISERROR(MATCH(A44,,0)),"",(MATCH(A44,,0))),(MATCH(A44,,0)))</f>
        <v/>
      </c>
      <c r="AA44" s="218" t="s">
        <v>102</v>
      </c>
      <c r="AB44" s="219"/>
      <c r="AC44" s="219"/>
      <c r="BB44" s="9" t="n">
        <f aca="false">IF(A44="","",1)</f>
        <v>1</v>
      </c>
    </row>
    <row r="45" customFormat="false" ht="12.75" hidden="false" customHeight="false" outlineLevel="0" collapsed="false">
      <c r="A45" s="220" t="s">
        <v>16</v>
      </c>
      <c r="B45" s="221" t="n">
        <v>0.209000006318092</v>
      </c>
      <c r="C45" s="222" t="n">
        <v>0.00999999977648258</v>
      </c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0.139350004028529</v>
      </c>
      <c r="G45" s="208" t="str">
        <f aca="false">IF(A45="","",IF(ISERROR(VLOOKUP($A45,,13,0)),IF(ISERROR(VLOOKUP($A45,,12,0)),"    -",VLOOKUP($A45,,12,0)),VLOOKUP($A45,,13,0)))</f>
        <v>    -</v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>code non répertorié ou synonyme</v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>PHOSPX</v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n">
        <f aca="false">IF(A45="","",1)</f>
        <v>1</v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103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LA SEMÈNE</v>
      </c>
      <c r="B84" s="256" t="str">
        <f aca="false">C3</f>
        <v>SEMENE à AUREC-SUR-LOIRE</v>
      </c>
      <c r="C84" s="257" t="n">
        <f aca="false">A4</f>
        <v>41862</v>
      </c>
      <c r="D84" s="258" t="str">
        <f aca="false">IF(ISERROR(SUM($T$23:$T$82)/SUM($U$23:$U$82)),"",SUM($T$23:$T$82)/SUM($U$23:$U$82))</f>
        <v/>
      </c>
      <c r="E84" s="259" t="n">
        <f aca="false">N13</f>
        <v>23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0.788350006937981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104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105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106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107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108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109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110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111</v>
      </c>
      <c r="R93" s="9"/>
      <c r="S93" s="215" t="str">
        <f aca="false">INDEX($A$23:$A$82,$S$92)</f>
        <v>SOADUL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27">
    <cfRule type="expression" priority="28" aboveAverage="0" equalAverage="0" bottom="0" percent="0" rank="0" text="" dxfId="26">
      <formula>ISTEXT($E27)</formula>
    </cfRule>
  </conditionalFormatting>
  <conditionalFormatting sqref="AB29">
    <cfRule type="expression" priority="29" aboveAverage="0" equalAverage="0" bottom="0" percent="0" rank="0" text="" dxfId="27">
      <formula>ISTEXT($E29)</formula>
    </cfRule>
  </conditionalFormatting>
  <conditionalFormatting sqref="AB33">
    <cfRule type="expression" priority="30" aboveAverage="0" equalAverage="0" bottom="0" percent="0" rank="0" text="" dxfId="28">
      <formula>ISTEXT($E33)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2024-04-16T07:09:46Z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