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9050" sheetId="1" state="visible" r:id="rId3"/>
  </sheets>
  <definedNames>
    <definedName function="false" hidden="false" localSheetId="0" name="_xlnm.Print_Area" vbProcedure="false">'04009050'!$A$1:$Q$82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<sst xmlns="http://schemas.openxmlformats.org/spreadsheetml/2006/main" count="159" uniqueCount="95">
  <si>
    <t xml:space="preserve">Relevés floristiques aquatiques - IBMR</t>
  </si>
  <si>
    <t xml:space="preserve">AQUABIO</t>
  </si>
  <si>
    <t xml:space="preserve">Anthony ANTOINE, Majlis DURAND</t>
  </si>
  <si>
    <t xml:space="preserve">la Coise</t>
  </si>
  <si>
    <t xml:space="preserve">COISE À LARAJASSE</t>
  </si>
  <si>
    <t xml:space="preserve">04009050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</si>
  <si>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</si>
  <si>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</si>
  <si>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</si>
  <si>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</si>
  <si>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</si>
  <si>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</si>
  <si>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</si>
  <si>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</si>
  <si>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</si>
  <si>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</si>
  <si>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</si>
  <si>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radier</t>
  </si>
  <si>
    <t xml:space="preserve">pl. courant</t>
  </si>
  <si>
    <t xml:space="preserve">niveau trophique</t>
  </si>
  <si>
    <t xml:space="preserve">faible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</si>
  <si>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</si>
  <si>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</si>
  <si>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</si>
  <si>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</si>
  <si>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</si>
  <si>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</si>
  <si>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</si>
  <si>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</si>
  <si>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</si>
  <si>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</si>
  <si>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</si>
  <si>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</si>
  <si>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</si>
  <si>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</si>
  <si>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</si>
  <si>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</si>
  <si>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</si>
  <si>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</si>
  <si>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</si>
  <si>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</si>
  <si>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</si>
  <si>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</si>
  <si>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</si>
  <si>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</si>
  <si>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</si>
  <si>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</si>
  <si>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</si>
  <si>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</si>
  <si>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</si>
  <si>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</si>
  <si>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</si>
  <si>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</si>
  <si>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</si>
  <si>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</si>
  <si>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</si>
  <si>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</si>
  <si>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</si>
  <si>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</si>
  <si>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</si>
  <si>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</si>
  <si>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</si>
  <si>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</si>
  <si>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</si>
  <si>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</si>
  <si>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</si>
  <si>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</si>
  <si>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</si>
  <si>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</si>
  <si>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</si>
  <si>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</si>
  <si>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</si>
  <si>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</si>
  <si>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</si>
  <si>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</si>
  <si>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</si>
  <si>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</si>
  <si>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</si>
  <si>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LEORIP</t>
  </si>
  <si>
    <t xml:space="preserve"> -</t>
  </si>
  <si>
    <t xml:space="preserve">CLASPX</t>
  </si>
  <si>
    <t xml:space="preserve">FONANT</t>
  </si>
  <si>
    <t xml:space="preserve">FISCRA</t>
  </si>
  <si>
    <t xml:space="preserve">RHYRIP</t>
  </si>
  <si>
    <t xml:space="preserve">AUDSPX</t>
  </si>
  <si>
    <t xml:space="preserve">PHOSPX</t>
  </si>
  <si>
    <t xml:space="preserve">PAASPX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</si>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</sst>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42629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12.1904761904762</v>
      </c>
      <c r="N5" s="48"/>
      <c r="O5" s="49" t="s">
        <v>15</v>
      </c>
      <c r="P5" s="50" t="n">
        <v>11.0666666666667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2</v>
      </c>
      <c r="P6" s="62" t="s">
        <v>21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22</v>
      </c>
      <c r="B7" s="65" t="n">
        <v>64</v>
      </c>
      <c r="C7" s="66" t="n">
        <v>36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23</v>
      </c>
      <c r="P7" s="75" t="s">
        <v>24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25</v>
      </c>
      <c r="B8" s="40"/>
      <c r="C8" s="40"/>
      <c r="D8" s="54"/>
      <c r="E8" s="54"/>
      <c r="F8" s="77" t="s">
        <v>26</v>
      </c>
      <c r="G8" s="78"/>
      <c r="H8" s="54"/>
      <c r="I8" s="6"/>
      <c r="J8" s="69"/>
      <c r="K8" s="70"/>
      <c r="L8" s="71"/>
      <c r="M8" s="72"/>
      <c r="N8" s="79" t="s">
        <v>27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28</v>
      </c>
      <c r="B9" s="65" t="n">
        <v>5</v>
      </c>
      <c r="C9" s="66" t="n">
        <v>2</v>
      </c>
      <c r="D9" s="82"/>
      <c r="E9" s="82"/>
      <c r="F9" s="83" t="n">
        <f aca="false">($B9*$B$7+$C9*$C$7)/100</f>
        <v>3.92</v>
      </c>
      <c r="G9" s="84"/>
      <c r="H9" s="41"/>
      <c r="I9" s="6"/>
      <c r="J9" s="85"/>
      <c r="K9" s="86"/>
      <c r="L9" s="71"/>
      <c r="M9" s="87"/>
      <c r="N9" s="79" t="s">
        <v>29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30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31</v>
      </c>
      <c r="L10" s="92"/>
      <c r="M10" s="93"/>
      <c r="N10" s="79" t="s">
        <v>32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33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34</v>
      </c>
      <c r="K11" s="101"/>
      <c r="L11" s="102" t="n">
        <f aca="false">COUNTIF($G$23:$G$82,"=HET")</f>
        <v>0</v>
      </c>
      <c r="M11" s="103"/>
      <c r="N11" s="79" t="s">
        <v>35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36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37</v>
      </c>
      <c r="K12" s="101"/>
      <c r="L12" s="102" t="n">
        <f aca="false">COUNTIF($G$23:$G$82,"=ALG")</f>
        <v>0</v>
      </c>
      <c r="M12" s="103"/>
      <c r="N12" s="107"/>
      <c r="O12" s="108" t="s">
        <v>31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38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39</v>
      </c>
      <c r="K13" s="101"/>
      <c r="L13" s="102" t="n">
        <f aca="false">COUNTIF($G$23:$G$82,"=BRm")+COUNTIF($G$23:$G$82,"=BRh")</f>
        <v>0</v>
      </c>
      <c r="M13" s="103"/>
      <c r="N13" s="111" t="s">
        <v>40</v>
      </c>
      <c r="O13" s="112" t="n">
        <f aca="false">COUNTIF(F23:F82,"&gt;0")</f>
        <v>9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41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42</v>
      </c>
      <c r="K14" s="101"/>
      <c r="L14" s="102" t="n">
        <f aca="false">COUNTIF($G$23:$G$82,"=PTE")+COUNTIF($G$23:$G$82,"=LIC")</f>
        <v>0</v>
      </c>
      <c r="M14" s="103"/>
      <c r="N14" s="114" t="s">
        <v>43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44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45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46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47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48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49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50</v>
      </c>
      <c r="M17" s="129" t="n">
        <f aca="false">IF(ISERROR((O13-(COUNTIF(J23:J82,"nc")))/O13),"-",(O13-(COUNTIF(J23:J82,"nc")))/O13)</f>
        <v>1</v>
      </c>
      <c r="N17" s="111" t="s">
        <v>51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52</v>
      </c>
      <c r="B18" s="132"/>
      <c r="C18" s="133"/>
      <c r="D18" s="82"/>
      <c r="E18" s="134" t="s">
        <v>53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54</v>
      </c>
      <c r="B20" s="154" t="n">
        <f aca="false">SUM(B23:B82)</f>
        <v>5.06999999843538</v>
      </c>
      <c r="C20" s="155" t="n">
        <f aca="false">SUM(C23:C82)</f>
        <v>2.02999999932945</v>
      </c>
      <c r="D20" s="156"/>
      <c r="E20" s="157" t="s">
        <v>53</v>
      </c>
      <c r="F20" s="158" t="n">
        <f aca="false">($B20*$B$7+$C20*$C$7)/100</f>
        <v>3.97559999875724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55</v>
      </c>
      <c r="B21" s="166" t="n">
        <f aca="false">B20*B7/100</f>
        <v>3.24479999899864</v>
      </c>
      <c r="C21" s="166" t="n">
        <f aca="false">C20*C7/100</f>
        <v>0.730799999758601</v>
      </c>
      <c r="D21" s="167" t="s">
        <v>56</v>
      </c>
      <c r="E21" s="168"/>
      <c r="F21" s="169" t="n">
        <f aca="false">B21+C21</f>
        <v>3.97559999875724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57</v>
      </c>
    </row>
    <row r="22" customFormat="false" ht="12.75" hidden="false" customHeight="false" outlineLevel="0" collapsed="false">
      <c r="A22" s="178" t="s">
        <v>58</v>
      </c>
      <c r="B22" s="179" t="s">
        <v>59</v>
      </c>
      <c r="C22" s="179" t="s">
        <v>59</v>
      </c>
      <c r="D22" s="180"/>
      <c r="E22" s="181"/>
      <c r="F22" s="182" t="s">
        <v>60</v>
      </c>
      <c r="G22" s="183" t="s">
        <v>61</v>
      </c>
      <c r="H22" s="82" t="s">
        <v>62</v>
      </c>
      <c r="I22" s="6" t="s">
        <v>63</v>
      </c>
      <c r="J22" s="184" t="s">
        <v>64</v>
      </c>
      <c r="K22" s="184" t="s">
        <v>65</v>
      </c>
      <c r="L22" s="185" t="s">
        <v>66</v>
      </c>
      <c r="M22" s="185"/>
      <c r="N22" s="185"/>
      <c r="O22" s="185"/>
      <c r="P22" s="177" t="s">
        <v>67</v>
      </c>
      <c r="Q22" s="186" t="s">
        <v>68</v>
      </c>
      <c r="R22" s="187" t="s">
        <v>69</v>
      </c>
      <c r="S22" s="188" t="s">
        <v>70</v>
      </c>
      <c r="T22" s="189" t="s">
        <v>71</v>
      </c>
      <c r="U22" s="189" t="s">
        <v>72</v>
      </c>
      <c r="V22" s="190" t="s">
        <v>73</v>
      </c>
      <c r="W22" s="191" t="s">
        <v>74</v>
      </c>
      <c r="X22" s="191" t="s">
        <v>75</v>
      </c>
      <c r="Y22" s="192" t="s">
        <v>76</v>
      </c>
      <c r="Z22" s="192" t="s">
        <v>77</v>
      </c>
    </row>
    <row r="23" customFormat="false" ht="12.75" hidden="false" customHeight="false" outlineLevel="0" collapsed="false">
      <c r="A23" s="193" t="s">
        <v>78</v>
      </c>
      <c r="B23" s="194" t="n">
        <v>0.00999999977648258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0.00999999977648258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79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LEORIP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80</v>
      </c>
      <c r="B24" s="211" t="n">
        <v>0.00999999977648258</v>
      </c>
      <c r="C24" s="212" t="n">
        <v>0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0.00639999985694885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79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CLASPX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81</v>
      </c>
      <c r="B25" s="211" t="n">
        <v>0.00999999977648258</v>
      </c>
      <c r="C25" s="212" t="n">
        <v>0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0.00639999985694885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79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FONANT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82</v>
      </c>
      <c r="B26" s="211" t="n">
        <v>0.00999999977648258</v>
      </c>
      <c r="C26" s="212" t="n">
        <v>0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0.00639999985694885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79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FISCRA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83</v>
      </c>
      <c r="B27" s="211" t="n">
        <v>0.00999999977648258</v>
      </c>
      <c r="C27" s="212" t="n">
        <v>0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0.00639999985694885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79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RHYRIP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84</v>
      </c>
      <c r="B28" s="211" t="n">
        <v>0.00999999977648258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0.00999999977648258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79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AUDSPX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85</v>
      </c>
      <c r="B29" s="211" t="n">
        <v>2</v>
      </c>
      <c r="C29" s="212" t="n">
        <v>1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1.64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79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PHOSPX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15</v>
      </c>
      <c r="B30" s="211" t="n">
        <v>3</v>
      </c>
      <c r="C30" s="212" t="n">
        <v>1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2.28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79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HILSPX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86</v>
      </c>
      <c r="B31" s="211" t="n">
        <v>0.00999999977648258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0.00999999977648258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79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PAASPX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/>
      <c r="B32" s="211"/>
      <c r="C32" s="212"/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str">
        <f aca="false">IF(AND(OR(A32="",A32="!!!!!!"),B32="",C32=""),"",IF(OR(AND(B32="",C32=""),ISERROR(C32+B32)),"!!!",($B32*$B$7+$C32*$C$7)/100))</f>
        <v/>
      </c>
      <c r="G32" s="216" t="str">
        <f aca="false">IF(A32="","",IF(ISERROR(VLOOKUP($A32,,9,0)),IF(ISERROR(VLOOKUP($A32,,8,0)),"    -",VLOOKUP($A32,,8,0)),VLOOKUP($A32,,9,0)))</f>
        <v/>
      </c>
      <c r="H32" s="217" t="str">
        <f aca="false">IF(A32="","x",IF(ISERROR(VLOOKUP($A32,,10,0)),IF(ISERROR(VLOOKUP($A32,,9,0)),"x",VLOOKUP($A32,,9,0)),VLOOKUP($A32,,10,0)))</f>
        <v>x</v>
      </c>
      <c r="I32" s="6" t="str">
        <f aca="false">IF(A32="","",1)</f>
        <v/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/>
      </c>
      <c r="M32" s="219"/>
      <c r="N32" s="219"/>
      <c r="O32" s="219"/>
      <c r="P32" s="220" t="s">
        <v>79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/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str">
        <f aca="false">IF(AND(OR(A33="",A33="!!!!!!"),B33="",C33=""),"",IF(OR(AND(B33="",C33=""),ISERROR(C33+B33)),"!!!",($B33*$B$7+$C33*$C$7)/100))</f>
        <v/>
      </c>
      <c r="G33" s="216" t="str">
        <f aca="false">IF(A33="","",IF(ISERROR(VLOOKUP($A33,,9,0)),IF(ISERROR(VLOOKUP($A33,,8,0)),"    -",VLOOKUP($A33,,8,0)),VLOOKUP($A33,,9,0)))</f>
        <v/>
      </c>
      <c r="H33" s="217" t="str">
        <f aca="false">IF(A33="","x",IF(ISERROR(VLOOKUP($A33,,10,0)),IF(ISERROR(VLOOKUP($A33,,9,0)),"x",VLOOKUP($A33,,9,0)),VLOOKUP($A33,,10,0)))</f>
        <v>x</v>
      </c>
      <c r="I33" s="6" t="str">
        <f aca="false">IF(A33="","",1)</f>
        <v/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/>
      </c>
      <c r="M33" s="219"/>
      <c r="N33" s="219"/>
      <c r="O33" s="219"/>
      <c r="P33" s="220" t="s">
        <v>79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/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str">
        <f aca="false">IF(AND(OR(A34="",A34="!!!!!!"),B34="",C34=""),"",IF(OR(AND(B34="",C34=""),ISERROR(C34+B34)),"!!!",($B34*$B$7+$C34*$C$7)/100))</f>
        <v/>
      </c>
      <c r="G34" s="216" t="str">
        <f aca="false">IF(A34="","",IF(ISERROR(VLOOKUP($A34,,9,0)),IF(ISERROR(VLOOKUP($A34,,8,0)),"    -",VLOOKUP($A34,,8,0)),VLOOKUP($A34,,9,0)))</f>
        <v/>
      </c>
      <c r="H34" s="217" t="str">
        <f aca="false">IF(A34="","x",IF(ISERROR(VLOOKUP($A34,,10,0)),IF(ISERROR(VLOOKUP($A34,,9,0)),"x",VLOOKUP($A34,,9,0)),VLOOKUP($A34,,10,0)))</f>
        <v>x</v>
      </c>
      <c r="I34" s="6" t="str">
        <f aca="false">IF(A34="","",1)</f>
        <v/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/>
      </c>
      <c r="M34" s="219"/>
      <c r="N34" s="219"/>
      <c r="O34" s="219"/>
      <c r="P34" s="220" t="s">
        <v>79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/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79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79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79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79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79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79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79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79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79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79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79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79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79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79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79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79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79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79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79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79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79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79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79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79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79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79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79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79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79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79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79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79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79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79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79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79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79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79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79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79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79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79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79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79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79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79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79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79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3.97559999875724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Coise</v>
      </c>
      <c r="B84" s="175" t="str">
        <f aca="false">C3</f>
        <v>COISE À LARAJASSE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9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3.97559999875724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87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88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89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90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91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92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93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94</v>
      </c>
      <c r="S93" s="6"/>
      <c r="T93" s="207" t="str">
        <f aca="false">INDEX($A$23:$A$82,$T$92)</f>
        <v>LEORIP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2024-04-24T22:00:37Z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