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925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'04009250'!$A$1:$O$82</definedName>
    <definedName function="false" hidden="false" localSheetId="0" name="Excel_BuiltIn__FilterDatabase" vbProcedure="false">'04009250'!$A$23:$J$84</definedName>
    <definedName function="false" hidden="false" localSheetId="0" name="NOM" vbProcedure="false">'04009250'!$H$1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<sst xmlns="http://schemas.openxmlformats.org/spreadsheetml/2006/main" count="110" uniqueCount="105">
  <si>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</si>
  <si>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</si>
  <si>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</si>
  <si>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Laetitia BLANCHARD, Rémy MARCEL</t>
  </si>
  <si>
    <t xml:space="preserve">conforme AFNOR T90-395 oct. 2003</t>
  </si>
  <si>
    <t xml:space="preserve">la Mare</t>
  </si>
  <si>
    <t xml:space="preserve">MARE à GUMIERES</t>
  </si>
  <si>
    <t xml:space="preserve">04009250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</si>
  <si>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</si>
  <si>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</si>
  <si>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</si>
  <si>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</si>
  <si>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</si>
  <si>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</si>
  <si>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</si>
  <si>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</si>
  <si>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</si>
  <si>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</si>
  <si>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autre</t>
  </si>
  <si>
    <t xml:space="preserve">pl. courant</t>
  </si>
  <si>
    <t xml:space="preserve">niv. trophique:</t>
  </si>
  <si>
    <t xml:space="preserve">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</si>
  <si>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</si>
  <si>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</si>
  <si>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</si>
  <si>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</si>
  <si>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</si>
  <si>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</si>
  <si>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</si>
  <si>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</si>
  <si>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</si>
  <si>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</si>
  <si>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</si>
  <si>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</si>
  <si>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</si>
  <si>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</si>
  <si>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</si>
  <si>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</si>
  <si>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</si>
  <si>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</si>
  <si>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</si>
  <si>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</si>
  <si>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</si>
  <si>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</si>
  <si>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</si>
  <si>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</si>
  <si>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</si>
  <si>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</si>
  <si>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</si>
  <si>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</si>
  <si>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</si>
  <si>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</si>
  <si>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</si>
  <si>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</si>
  <si>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</si>
  <si>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</si>
  <si>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</si>
  <si>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</si>
  <si>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</si>
  <si>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(15,7933572206646 %)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</si>
  <si>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</si>
  <si>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</si>
  <si>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</si>
  <si>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</si>
  <si>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</si>
  <si>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</si>
  <si>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</si>
  <si>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</si>
  <si>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</si>
  <si>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</si>
  <si>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</si>
  <si>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</si>
  <si>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</si>
  <si>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</si>
  <si>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</si>
  <si>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</si>
  <si>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</si>
  <si>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</si>
  <si>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</si>
  <si>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Newcod</t>
  </si>
  <si>
    <t xml:space="preserve">Rorippa sylvestris</t>
  </si>
  <si>
    <t xml:space="preserve">JUNEFF</t>
  </si>
  <si>
    <t xml:space="preserve">PELEND</t>
  </si>
  <si>
    <t xml:space="preserve">Cf.</t>
  </si>
  <si>
    <t xml:space="preserve">RANREP</t>
  </si>
  <si>
    <t xml:space="preserve">GLYFLU</t>
  </si>
  <si>
    <t xml:space="preserve">FISCRA</t>
  </si>
  <si>
    <t xml:space="preserve">OSCSPX</t>
  </si>
  <si>
    <t xml:space="preserve">LEASPX</t>
  </si>
  <si>
    <t xml:space="preserve">AUDSPX</t>
  </si>
  <si>
    <t xml:space="preserve">VAUSPX</t>
  </si>
  <si>
    <t xml:space="preserve">VERBEC</t>
  </si>
  <si>
    <t xml:space="preserve">PHOSPX</t>
  </si>
  <si>
    <t xml:space="preserve">SCAUND</t>
  </si>
  <si>
    <t xml:space="preserve">CHIPOL</t>
  </si>
  <si>
    <t xml:space="preserve">BRARIV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</si>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</sst>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1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1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1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7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41863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13.9090909090909</v>
      </c>
      <c r="M5" s="52"/>
      <c r="N5" s="53" t="s">
        <v>16</v>
      </c>
      <c r="O5" s="54" t="n">
        <v>14.1724137931034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40</v>
      </c>
      <c r="C7" s="66" t="n">
        <v>60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25</v>
      </c>
      <c r="C9" s="86" t="n">
        <v>10</v>
      </c>
      <c r="D9" s="87"/>
      <c r="E9" s="87"/>
      <c r="F9" s="88" t="n">
        <f aca="false">($B9*$B$7+$C9*$C$7)/100</f>
        <v>16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16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25.6833930471912</v>
      </c>
      <c r="C20" s="165" t="n">
        <f aca="false">SUM(C23:C82)</f>
        <v>9.20000000298023</v>
      </c>
      <c r="D20" s="166"/>
      <c r="E20" s="167" t="s">
        <v>53</v>
      </c>
      <c r="F20" s="168" t="n">
        <f aca="false">($B20*$B$7+$C20*$C$7)/100</f>
        <v>15.7933572206646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10.2733572188765</v>
      </c>
      <c r="C21" s="178" t="n">
        <f aca="false">C20*C7/100</f>
        <v>5.52000000178814</v>
      </c>
      <c r="D21" s="110" t="str">
        <f aca="false">IF(F21=0,"",IF((ABS(F21-F19))&gt;(0.2*F21),CONCATENATE(" rec. par taxa (",F21," %) supérieur à 20 % !"),""))</f>
        <v> rec. par taxa (15,7933572206646 %)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15.7933572206646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</v>
      </c>
      <c r="C23" s="204" t="n">
        <v>0.00999999977648258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0.00599999986588955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>No</v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Newcod</v>
      </c>
      <c r="Z23" s="9" t="str">
        <f aca="false">IF(ISERROR(MATCH(A23,,0)),IF(ISERROR(MATCH(A23,,0)),"",(MATCH(A23,,0))),(MATCH(A23,,0)))</f>
        <v/>
      </c>
      <c r="AA23" s="218"/>
      <c r="AB23" s="202" t="s">
        <v>80</v>
      </c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81</v>
      </c>
      <c r="B24" s="221" t="n">
        <v>0</v>
      </c>
      <c r="C24" s="222" t="n">
        <v>0.00999999977648258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0.00599999986588955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JUNEFF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82</v>
      </c>
      <c r="B25" s="221" t="n">
        <v>0</v>
      </c>
      <c r="C25" s="222" t="n">
        <v>0.00999999977648258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0.00599999986588955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 t="s">
        <v>83</v>
      </c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PELEND</v>
      </c>
      <c r="Z25" s="9" t="str">
        <f aca="false">IF(ISERROR(MATCH(A25,,0)),IF(ISERROR(MATCH(A25,,0)),"",(MATCH(A25,,0))),(MATCH(A25,,0)))</f>
        <v/>
      </c>
      <c r="AA25" s="218" t="s">
        <v>83</v>
      </c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84</v>
      </c>
      <c r="B26" s="221" t="n">
        <v>0</v>
      </c>
      <c r="C26" s="222" t="n">
        <v>0.00999999977648258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0.00599999986588955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RANREP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85</v>
      </c>
      <c r="B27" s="221" t="n">
        <v>0</v>
      </c>
      <c r="C27" s="222" t="n">
        <v>0.00999999977648258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0.00599999986588955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GLYFLU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86</v>
      </c>
      <c r="B28" s="221" t="n">
        <v>0.00999999977648258</v>
      </c>
      <c r="C28" s="222" t="n">
        <v>0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0.00399999991059303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FISCRA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87</v>
      </c>
      <c r="B29" s="221" t="n">
        <v>0.00999999977648258</v>
      </c>
      <c r="C29" s="222" t="n">
        <v>0.00999999977648258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0.00999999977648258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OSCSPX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88</v>
      </c>
      <c r="B30" s="221" t="n">
        <v>0.00999999977648258</v>
      </c>
      <c r="C30" s="222" t="n">
        <v>0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0.00399999991059303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LEASPX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89</v>
      </c>
      <c r="B31" s="221" t="n">
        <v>0.00999999977648258</v>
      </c>
      <c r="C31" s="222" t="n">
        <v>0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0.00399999991059303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AUDSPX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90</v>
      </c>
      <c r="B32" s="221" t="n">
        <v>0.00999999977648258</v>
      </c>
      <c r="C32" s="222" t="n">
        <v>0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0.00399999991059303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VAUSPX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91</v>
      </c>
      <c r="B33" s="221" t="n">
        <v>0.00999999977648258</v>
      </c>
      <c r="C33" s="222" t="n">
        <v>0.00999999977648258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0.00999999977648258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VERBEC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92</v>
      </c>
      <c r="B34" s="221" t="n">
        <v>0.0133929001167417</v>
      </c>
      <c r="C34" s="222" t="n">
        <v>0.00999999977648258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0.0113571599125862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PHOSPX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93</v>
      </c>
      <c r="B35" s="221" t="n">
        <v>0.200000002980232</v>
      </c>
      <c r="C35" s="222" t="n">
        <v>0.300000011920929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0.26000000834465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SCAUND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94</v>
      </c>
      <c r="B36" s="221" t="n">
        <v>0.800000011920929</v>
      </c>
      <c r="C36" s="222" t="n">
        <v>0.400000005960465</v>
      </c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0.56000000834465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>CHIPOL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 t="s">
        <v>95</v>
      </c>
      <c r="B37" s="221" t="n">
        <v>2.59999990463257</v>
      </c>
      <c r="C37" s="222" t="n">
        <v>0.419999986886978</v>
      </c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1.29199995398521</v>
      </c>
      <c r="G37" s="208" t="str">
        <f aca="false">IF(A37="","",IF(ISERROR(VLOOKUP($A37,,13,0)),IF(ISERROR(VLOOKUP($A37,,12,0)),"    -",VLOOKUP($A37,,12,0)),VLOOKUP($A37,,13,0)))</f>
        <v>    -</v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>BRARIV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n">
        <f aca="false">IF(A37="","",1)</f>
        <v>1</v>
      </c>
    </row>
    <row r="38" customFormat="false" ht="12.75" hidden="false" customHeight="false" outlineLevel="0" collapsed="false">
      <c r="A38" s="220" t="s">
        <v>16</v>
      </c>
      <c r="B38" s="221" t="n">
        <v>22.0100002288818</v>
      </c>
      <c r="C38" s="222" t="n">
        <v>8</v>
      </c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13.6040000915527</v>
      </c>
      <c r="G38" s="208" t="str">
        <f aca="false">IF(A38="","",IF(ISERROR(VLOOKUP($A38,,13,0)),IF(ISERROR(VLOOKUP($A38,,12,0)),"    -",VLOOKUP($A38,,12,0)),VLOOKUP($A38,,13,0)))</f>
        <v>    -</v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>RHYRIP</v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n">
        <f aca="false">IF(A38="","",1)</f>
        <v>1</v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8" t="str">
        <f aca="false">IF(A39="","",IF(ISERROR(VLOOKUP($A39,,13,0)),IF(ISERROR(VLOOKUP($A39,,12,0)),"    -",VLOOKUP($A39,,12,0)),VLOOKUP($A39,,13,0)))</f>
        <v/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96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la Mare</v>
      </c>
      <c r="B84" s="256" t="str">
        <f aca="false">C3</f>
        <v>MARE à GUMIERES</v>
      </c>
      <c r="C84" s="257" t="n">
        <f aca="false">A4</f>
        <v>41863</v>
      </c>
      <c r="D84" s="258" t="str">
        <f aca="false">IF(ISERROR(SUM($T$23:$T$82)/SUM($U$23:$U$82)),"",SUM($T$23:$T$82)/SUM($U$23:$U$82))</f>
        <v/>
      </c>
      <c r="E84" s="259" t="n">
        <f aca="false">N13</f>
        <v>16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15.7933572206646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97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98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99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100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101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102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103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104</v>
      </c>
      <c r="R93" s="9"/>
      <c r="S93" s="215" t="str">
        <f aca="false">INDEX($A$23:$A$82,$S$92)</f>
        <v>Newcod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23">
    <cfRule type="expression" priority="28" aboveAverage="0" equalAverage="0" bottom="0" percent="0" rank="0" text="" dxfId="26">
      <formula>ISTEXT($E23)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2024-04-16T07:22:58Z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