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250" sheetId="1" state="visible" r:id="rId3"/>
  </sheets>
  <definedNames>
    <definedName function="false" hidden="false" localSheetId="0" name="_xlnm.Print_Area" vbProcedure="false">'04010250'!$A$1:$O$82</definedName>
    <definedName function="false" hidden="false" localSheetId="0" name="Cf." vbProcedure="false"/>
    <definedName function="false" hidden="false" localSheetId="0" name="NOM" vbProcedure="false">'04010250'!$H$1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<sst xmlns="http://schemas.openxmlformats.org/spreadsheetml/2006/main" count="116" uniqueCount="109">
  <si>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</si>
  <si>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</si>
  <si>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</si>
  <si>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Benjamin POUJARDIEU, David MEHEUST, Yann TRACOL</t>
  </si>
  <si>
    <t xml:space="preserve">conforme AFNOR T90-395 oct. 2003</t>
  </si>
  <si>
    <t xml:space="preserve">le Lignon</t>
  </si>
  <si>
    <t xml:space="preserve">LIGNON à JEANSAGNIERE</t>
  </si>
  <si>
    <t xml:space="preserve">04010250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</si>
  <si>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</si>
  <si>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</si>
  <si>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</si>
  <si>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</si>
  <si>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</si>
  <si>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</si>
  <si>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</si>
  <si>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</si>
  <si>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</si>
  <si>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</si>
  <si>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</si>
  <si>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</si>
  <si>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</si>
  <si>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</si>
  <si>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</si>
  <si>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</si>
  <si>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</si>
  <si>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</si>
  <si>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</si>
  <si>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</si>
  <si>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</si>
  <si>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</si>
  <si>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</si>
  <si>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</si>
  <si>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</si>
  <si>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</si>
  <si>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</si>
  <si>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</si>
  <si>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</si>
  <si>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</si>
  <si>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</si>
  <si>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</si>
  <si>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</si>
  <si>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</si>
  <si>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</si>
  <si>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</si>
  <si>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</si>
  <si>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</si>
  <si>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</si>
  <si>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</si>
  <si>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</si>
  <si>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</si>
  <si>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</si>
  <si>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</si>
  <si>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</si>
  <si>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</si>
  <si>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</si>
  <si>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</si>
  <si>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</si>
  <si>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</si>
  <si>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(28,6310004377737 %)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</si>
  <si>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</si>
  <si>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</si>
  <si>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</si>
  <si>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</si>
  <si>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</si>
  <si>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</si>
  <si>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</si>
  <si>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</si>
  <si>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</si>
  <si>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</si>
  <si>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</si>
  <si>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</si>
  <si>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</si>
  <si>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</si>
  <si>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</si>
  <si>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</si>
  <si>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</si>
  <si>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</si>
  <si>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</si>
  <si>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FONSQU</t>
  </si>
  <si>
    <t xml:space="preserve">RICCHA</t>
  </si>
  <si>
    <t xml:space="preserve">newcod</t>
  </si>
  <si>
    <t xml:space="preserve">Chaerophyllum hirsutum</t>
  </si>
  <si>
    <t xml:space="preserve">PLIUND</t>
  </si>
  <si>
    <t xml:space="preserve">RANREP</t>
  </si>
  <si>
    <t xml:space="preserve">CAMPRA</t>
  </si>
  <si>
    <t xml:space="preserve">Cf.</t>
  </si>
  <si>
    <t xml:space="preserve">CHROPP</t>
  </si>
  <si>
    <t xml:space="preserve">GLYFLU</t>
  </si>
  <si>
    <t xml:space="preserve">CAMAMA</t>
  </si>
  <si>
    <t xml:space="preserve">BATSPX</t>
  </si>
  <si>
    <t xml:space="preserve">Epilobium obscurum</t>
  </si>
  <si>
    <t xml:space="preserve">AUDSPX</t>
  </si>
  <si>
    <t xml:space="preserve">LEASPX</t>
  </si>
  <si>
    <t xml:space="preserve">CALSPX</t>
  </si>
  <si>
    <t xml:space="preserve">PHOSPX</t>
  </si>
  <si>
    <t xml:space="preserve">CHIPOL</t>
  </si>
  <si>
    <t xml:space="preserve">SCAUND</t>
  </si>
  <si>
    <t xml:space="preserve">HILSPX</t>
  </si>
  <si>
    <t xml:space="preserve">BRARIV</t>
  </si>
  <si>
    <t xml:space="preserve">RHYRIP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</si>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</sst>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41155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14.7906976744186</v>
      </c>
      <c r="M5" s="52"/>
      <c r="N5" s="53"/>
      <c r="O5" s="54" t="n">
        <v>15.0769230769231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90</v>
      </c>
      <c r="C7" s="66" t="n">
        <v>10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30</v>
      </c>
      <c r="C9" s="85" t="n">
        <v>16.5</v>
      </c>
      <c r="D9" s="86"/>
      <c r="E9" s="86"/>
      <c r="F9" s="87" t="n">
        <f aca="false">($B9*$B$7+$C9*$C$7)/100</f>
        <v>28.65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20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30.0200004633516</v>
      </c>
      <c r="C20" s="164" t="n">
        <f aca="false">SUM(C23:C82)</f>
        <v>16.1300002075732</v>
      </c>
      <c r="D20" s="165"/>
      <c r="E20" s="166" t="s">
        <v>52</v>
      </c>
      <c r="F20" s="167" t="n">
        <f aca="false">($B20*$B$7+$C20*$C$7)/100</f>
        <v>28.6310004377738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27.0180004170164</v>
      </c>
      <c r="C21" s="177" t="n">
        <f aca="false">C20*C7/100</f>
        <v>1.61300002075732</v>
      </c>
      <c r="D21" s="109" t="str">
        <f aca="false">IF(F21=0,"",IF((ABS(F21-F19))&gt;(0.2*F21),CONCATENATE(" rec. par taxa (",F21," %) supérieur à 20 % !"),""))</f>
        <v> rec. par taxa (28,6310004377738 %)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28.6310004377738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0.00999999977648258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0.000999999977648258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3</v>
      </c>
      <c r="W23" s="217"/>
      <c r="X23" s="217"/>
      <c r="Y23" s="215" t="str">
        <f aca="false">IF(A23="new.cod","NEWCOD",IF(AND((Z23=""),ISTEXT(A23)),A23,IF(Z23="","",INDEX(,Z23))))</f>
        <v>FONSQU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0.00999999977648258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0.000999999977648258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2</v>
      </c>
      <c r="W24" s="230"/>
      <c r="Y24" s="215" t="str">
        <f aca="false">IF(A24="new.cod","NEWCOD",IF(AND((Z24=""),ISTEXT(A24)),A24,IF(Z24="","",INDEX(,Z24))))</f>
        <v>RICCHA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0.00999999977648258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0.000999999977648258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>No</v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0</v>
      </c>
      <c r="W25" s="217"/>
      <c r="Y25" s="215" t="str">
        <f aca="false">IF(A25="new.cod","NEWCOD",IF(AND((Z25=""),ISTEXT(A25)),A25,IF(Z25="","",INDEX(,Z25))))</f>
        <v>newcod</v>
      </c>
      <c r="Z25" s="9" t="str">
        <f aca="false">IF(ISERROR(MATCH(A25,,0)),IF(ISERROR(MATCH(A25,,0)),"",(MATCH(A25,,0))),(MATCH(A25,,0)))</f>
        <v/>
      </c>
      <c r="AA25" s="218"/>
      <c r="AB25" s="220" t="s">
        <v>81</v>
      </c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0.00999999977648258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0.000999999977648258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0</v>
      </c>
      <c r="W26" s="217"/>
      <c r="Y26" s="215" t="str">
        <f aca="false">IF(A26="new.cod","NEWCOD",IF(AND((Z26=""),ISTEXT(A26)),A26,IF(Z26="","",INDEX(,Z26))))</f>
        <v>PLIUND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</v>
      </c>
      <c r="C27" s="222" t="n">
        <v>0.00999999977648258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0.000999999977648258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0</v>
      </c>
      <c r="W27" s="217"/>
      <c r="Y27" s="215" t="str">
        <f aca="false">IF(A27="new.cod","NEWCOD",IF(AND((Z27=""),ISTEXT(A27)),A27,IF(Z27="","",INDEX(,Z27))))</f>
        <v>RANREP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</v>
      </c>
      <c r="C28" s="222" t="n">
        <v>0.00999999977648258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0.000999999977648258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 t="s">
        <v>85</v>
      </c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0</v>
      </c>
      <c r="W28" s="217"/>
      <c r="Y28" s="215" t="str">
        <f aca="false">IF(A28="new.cod","NEWCOD",IF(AND((Z28=""),ISTEXT(A28)),A28,IF(Z28="","",INDEX(,Z28))))</f>
        <v>CAMPRA</v>
      </c>
      <c r="Z28" s="9" t="str">
        <f aca="false">IF(ISERROR(MATCH(A28,,0)),IF(ISERROR(MATCH(A28,,0)),"",(MATCH(A28,,0))),(MATCH(A28,,0)))</f>
        <v/>
      </c>
      <c r="AA28" s="218" t="s">
        <v>85</v>
      </c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86</v>
      </c>
      <c r="B29" s="221" t="n">
        <v>0</v>
      </c>
      <c r="C29" s="222" t="n">
        <v>0.00999999977648258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0.000999999977648258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0</v>
      </c>
      <c r="W29" s="217"/>
      <c r="Y29" s="215" t="str">
        <f aca="false">IF(A29="new.cod","NEWCOD",IF(AND((Z29=""),ISTEXT(A29)),A29,IF(Z29="","",INDEX(,Z29))))</f>
        <v>CHROPP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87</v>
      </c>
      <c r="B30" s="221" t="n">
        <v>0</v>
      </c>
      <c r="C30" s="222" t="n">
        <v>0.00999999977648258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0.000999999977648258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2</v>
      </c>
      <c r="W30" s="217"/>
      <c r="Y30" s="215" t="str">
        <f aca="false">IF(A30="new.cod","NEWCOD",IF(AND((Z30=""),ISTEXT(A30)),A30,IF(Z30="","",INDEX(,Z30))))</f>
        <v>GLYFLU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88</v>
      </c>
      <c r="B31" s="221" t="n">
        <v>0.00999999977648258</v>
      </c>
      <c r="C31" s="222" t="n">
        <v>0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0.00899999979883432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 t="s">
        <v>85</v>
      </c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0</v>
      </c>
      <c r="W31" s="217"/>
      <c r="Y31" s="215" t="str">
        <f aca="false">IF(A31="new.cod","NEWCOD",IF(AND((Z31=""),ISTEXT(A31)),A31,IF(Z31="","",INDEX(,Z31))))</f>
        <v>CAMAMA</v>
      </c>
      <c r="Z31" s="9" t="str">
        <f aca="false">IF(ISERROR(MATCH(A31,,0)),IF(ISERROR(MATCH(A31,,0)),"",(MATCH(A31,,0))),(MATCH(A31,,0)))</f>
        <v/>
      </c>
      <c r="AA31" s="218" t="s">
        <v>85</v>
      </c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89</v>
      </c>
      <c r="B32" s="221" t="n">
        <v>0.00999999977648258</v>
      </c>
      <c r="C32" s="222" t="n">
        <v>0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0.00899999979883432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2</v>
      </c>
      <c r="W32" s="217"/>
      <c r="Y32" s="215" t="str">
        <f aca="false">IF(A32="new.cod","NEWCOD",IF(AND((Z32=""),ISTEXT(A32)),A32,IF(Z32="","",INDEX(,Z32))))</f>
        <v>BATSPX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80</v>
      </c>
      <c r="B33" s="221" t="n">
        <v>0.00999999977648258</v>
      </c>
      <c r="C33" s="222" t="n">
        <v>0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0.00899999979883432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>No</v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0</v>
      </c>
      <c r="W33" s="217"/>
      <c r="Y33" s="215" t="str">
        <f aca="false">IF(A33="new.cod","NEWCOD",IF(AND((Z33=""),ISTEXT(A33)),A33,IF(Z33="","",INDEX(,Z33))))</f>
        <v>newcod</v>
      </c>
      <c r="Z33" s="9" t="str">
        <f aca="false">IF(ISERROR(MATCH(A33,,0)),IF(ISERROR(MATCH(A33,,0)),"",(MATCH(A33,,0))),(MATCH(A33,,0)))</f>
        <v/>
      </c>
      <c r="AA33" s="218"/>
      <c r="AB33" s="220" t="s">
        <v>90</v>
      </c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0.00999999977648258</v>
      </c>
      <c r="C34" s="222" t="n">
        <v>0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0.00899999979883432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2</v>
      </c>
      <c r="W34" s="217"/>
      <c r="Y34" s="215" t="str">
        <f aca="false">IF(A34="new.cod","NEWCOD",IF(AND((Z34=""),ISTEXT(A34)),A34,IF(Z34="","",INDEX(,Z34))))</f>
        <v>AUDSPX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92</v>
      </c>
      <c r="B35" s="221" t="n">
        <v>0.00999999977648258</v>
      </c>
      <c r="C35" s="222" t="n">
        <v>0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0.00899999979883432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2</v>
      </c>
      <c r="W35" s="217"/>
      <c r="Y35" s="215" t="str">
        <f aca="false">IF(A35="new.cod","NEWCOD",IF(AND((Z35=""),ISTEXT(A35)),A35,IF(Z35="","",INDEX(,Z35))))</f>
        <v>LEASPX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 t="s">
        <v>93</v>
      </c>
      <c r="B36" s="221" t="n">
        <v>0.0199999995529652</v>
      </c>
      <c r="C36" s="222" t="n">
        <v>0</v>
      </c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0.0179999995976686</v>
      </c>
      <c r="G36" s="226" t="str">
        <f aca="false">IF(A36="","",IF(ISERROR(VLOOKUP($A36,,13,0)),IF(ISERROR(VLOOKUP($A36,,12,0)),"    -",VLOOKUP($A36,,12,0)),VLOOKUP($A36,,13,0)))</f>
        <v>    -</v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>CALSPX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n">
        <f aca="false">IF(A36="","",1)</f>
        <v>1</v>
      </c>
    </row>
    <row r="37" customFormat="false" ht="12.75" hidden="false" customHeight="false" outlineLevel="0" collapsed="false">
      <c r="A37" s="220" t="s">
        <v>94</v>
      </c>
      <c r="B37" s="221" t="n">
        <v>0.310000002384186</v>
      </c>
      <c r="C37" s="222" t="n">
        <v>0</v>
      </c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0.279000002145767</v>
      </c>
      <c r="G37" s="226" t="str">
        <f aca="false">IF(A37="","",IF(ISERROR(VLOOKUP($A37,,13,0)),IF(ISERROR(VLOOKUP($A37,,12,0)),"    -",VLOOKUP($A37,,12,0)),VLOOKUP($A37,,13,0)))</f>
        <v>    -</v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4</v>
      </c>
      <c r="W37" s="217"/>
      <c r="Y37" s="215" t="str">
        <f aca="false">IF(A37="new.cod","NEWCOD",IF(AND((Z37=""),ISTEXT(A37)),A37,IF(Z37="","",INDEX(,Z37))))</f>
        <v>PHOSPX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n">
        <f aca="false">IF(A37="","",1)</f>
        <v>1</v>
      </c>
    </row>
    <row r="38" customFormat="false" ht="12.75" hidden="false" customHeight="false" outlineLevel="0" collapsed="false">
      <c r="A38" s="220" t="s">
        <v>95</v>
      </c>
      <c r="B38" s="221" t="n">
        <v>0.800000011920929</v>
      </c>
      <c r="C38" s="222" t="n">
        <v>0.00999999977648258</v>
      </c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0.721000010706484</v>
      </c>
      <c r="G38" s="226" t="str">
        <f aca="false">IF(A38="","",IF(ISERROR(VLOOKUP($A38,,13,0)),IF(ISERROR(VLOOKUP($A38,,12,0)),"    -",VLOOKUP($A38,,12,0)),VLOOKUP($A38,,13,0)))</f>
        <v>    -</v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4</v>
      </c>
      <c r="W38" s="217"/>
      <c r="Y38" s="215" t="str">
        <f aca="false">IF(A38="new.cod","NEWCOD",IF(AND((Z38=""),ISTEXT(A38)),A38,IF(Z38="","",INDEX(,Z38))))</f>
        <v>CHIPOL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n">
        <f aca="false">IF(A38="","",1)</f>
        <v>1</v>
      </c>
    </row>
    <row r="39" customFormat="false" ht="12.75" hidden="false" customHeight="false" outlineLevel="0" collapsed="false">
      <c r="A39" s="220" t="s">
        <v>96</v>
      </c>
      <c r="B39" s="221" t="n">
        <v>0.819999992847443</v>
      </c>
      <c r="C39" s="222" t="n">
        <v>0.00999999977648258</v>
      </c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0.738999993540347</v>
      </c>
      <c r="G39" s="226" t="str">
        <f aca="false">IF(A39="","",IF(ISERROR(VLOOKUP($A39,,13,0)),IF(ISERROR(VLOOKUP($A39,,12,0)),"    -",VLOOKUP($A39,,12,0)),VLOOKUP($A39,,13,0)))</f>
        <v>    -</v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6</v>
      </c>
      <c r="W39" s="217"/>
      <c r="Y39" s="215" t="str">
        <f aca="false">IF(A39="new.cod","NEWCOD",IF(AND((Z39=""),ISTEXT(A39)),A39,IF(Z39="","",INDEX(,Z39))))</f>
        <v>SCAUND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n">
        <f aca="false">IF(A39="","",1)</f>
        <v>1</v>
      </c>
    </row>
    <row r="40" customFormat="false" ht="12.75" hidden="false" customHeight="false" outlineLevel="0" collapsed="false">
      <c r="A40" s="220" t="s">
        <v>97</v>
      </c>
      <c r="B40" s="221" t="n">
        <v>8</v>
      </c>
      <c r="C40" s="222" t="n">
        <v>0.5</v>
      </c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7.25</v>
      </c>
      <c r="G40" s="226" t="str">
        <f aca="false">IF(A40="","",IF(ISERROR(VLOOKUP($A40,,13,0)),IF(ISERROR(VLOOKUP($A40,,12,0)),"    -",VLOOKUP($A40,,12,0)),VLOOKUP($A40,,13,0)))</f>
        <v>    -</v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6</v>
      </c>
      <c r="W40" s="217"/>
      <c r="Y40" s="215" t="str">
        <f aca="false">IF(A40="new.cod","NEWCOD",IF(AND((Z40=""),ISTEXT(A40)),A40,IF(Z40="","",INDEX(,Z40))))</f>
        <v>HILSPX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n">
        <f aca="false">IF(A40="","",1)</f>
        <v>1</v>
      </c>
    </row>
    <row r="41" customFormat="false" ht="12.75" hidden="false" customHeight="false" outlineLevel="0" collapsed="false">
      <c r="A41" s="220" t="s">
        <v>98</v>
      </c>
      <c r="B41" s="221" t="n">
        <v>8.01000022888184</v>
      </c>
      <c r="C41" s="222" t="n">
        <v>0.519999980926514</v>
      </c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7.2610002040863</v>
      </c>
      <c r="G41" s="226" t="str">
        <f aca="false">IF(A41="","",IF(ISERROR(VLOOKUP($A41,,13,0)),IF(ISERROR(VLOOKUP($A41,,12,0)),"    -",VLOOKUP($A41,,12,0)),VLOOKUP($A41,,13,0)))</f>
        <v>    -</v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6</v>
      </c>
      <c r="W41" s="217"/>
      <c r="Y41" s="215" t="str">
        <f aca="false">IF(A41="new.cod","NEWCOD",IF(AND((Z41=""),ISTEXT(A41)),A41,IF(Z41="","",INDEX(,Z41))))</f>
        <v>BRARIV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n">
        <f aca="false">IF(A41="","",1)</f>
        <v>1</v>
      </c>
    </row>
    <row r="42" customFormat="false" ht="12.75" hidden="false" customHeight="false" outlineLevel="0" collapsed="false">
      <c r="A42" s="220" t="s">
        <v>99</v>
      </c>
      <c r="B42" s="221" t="n">
        <v>12.0100002288818</v>
      </c>
      <c r="C42" s="222" t="n">
        <v>15.0100002288818</v>
      </c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12.3100002288818</v>
      </c>
      <c r="G42" s="226" t="str">
        <f aca="false">IF(A42="","",IF(ISERROR(VLOOKUP($A42,,13,0)),IF(ISERROR(VLOOKUP($A42,,12,0)),"    -",VLOOKUP($A42,,12,0)),VLOOKUP($A42,,13,0)))</f>
        <v>    -</v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4</v>
      </c>
      <c r="W42" s="217"/>
      <c r="Y42" s="215" t="str">
        <f aca="false">IF(A42="new.cod","NEWCOD",IF(AND((Z42=""),ISTEXT(A42)),A42,IF(Z42="","",INDEX(,Z42))))</f>
        <v>RHYRIP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n">
        <f aca="false">IF(A42="","",1)</f>
        <v>1</v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100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le Lignon</v>
      </c>
      <c r="B84" s="253" t="str">
        <f aca="false">C3</f>
        <v>LIGNON à JEANSAGNIERE</v>
      </c>
      <c r="C84" s="254" t="n">
        <f aca="false">A4</f>
        <v>41155</v>
      </c>
      <c r="D84" s="255" t="str">
        <f aca="false">IF(ISERROR(SUM($T$23:$T$82)/SUM($U$23:$U$82)),"",SUM($T$23:$T$82)/SUM($U$23:$U$82))</f>
        <v/>
      </c>
      <c r="E84" s="256" t="n">
        <f aca="false">N13</f>
        <v>20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28.6310004377738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101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102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103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104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105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106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107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108</v>
      </c>
      <c r="R93" s="9"/>
      <c r="S93" s="215" t="str">
        <f aca="false">INDEX($A$23:$A$82,$S$92)</f>
        <v>FONSQU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5">
    <cfRule type="expression" priority="28" aboveAverage="0" equalAverage="0" bottom="0" percent="0" rank="0" text="" dxfId="26">
      <formula>ISTEXT($E25)</formula>
    </cfRule>
  </conditionalFormatting>
  <conditionalFormatting sqref="AB33">
    <cfRule type="expression" priority="29" aboveAverage="0" equalAverage="0" bottom="0" percent="0" rank="0" text="" dxfId="27">
      <formula>ISTEXT($E33)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2024-03-14T21:52:39Z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