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LOIRE à Balbigny" sheetId="1" state="visible" r:id="rId3"/>
  </sheets>
  <externalReferences>
    <externalReference r:id="rId4"/>
  </externalReferences>
  <definedNames>
    <definedName function="false" hidden="false" localSheetId="0" name="Excel_BuiltIn_Print_Area" vbProcedure="false">'LOIRE à Balbigny'!$A$1:$O$82</definedName>
    <definedName function="false" hidden="false" localSheetId="0" name="Excel_BuiltIn__FilterDatabase" vbProcedure="false">'LOIRE à Balbigny'!$A$23:$J$84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8</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10</xdr:col>
                <xdr:colOff>0</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8</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10</xdr:col>
                <xdr:colOff>0</xdr:colOff>
                <xdr:row>25</xdr:row>
                <xdr:rowOff>10</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21</xdr:col>
                <xdr:colOff>0</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21</xdr:col>
                <xdr:colOff>0</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3</xdr:rowOff>
              </xdr:from>
              <xdr:to>
                <xdr:col>21</xdr:col>
                <xdr:colOff>0</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<sst xmlns="http://schemas.openxmlformats.org/spreadsheetml/2006/main" count="100" uniqueCount="93">
  <si>
    <t xml:space="preserve">Relevés floristiques aquatiques - IBMR</t>
  </si>
  <si>
    <t xml:space="preserve">GIS Macrophytes - juillet 2006</t>
  </si>
  <si>
    <t xml:space="preserve">AQUASCOP</t>
  </si>
  <si>
    <t xml:space="preserve">VB-JFS-AM</t>
  </si>
  <si>
    <t xml:space="preserve">conforme AFNOR T90-395 oct. 2003</t>
  </si>
  <si>
    <t xml:space="preserve">LOIRE</t>
  </si>
  <si>
    <t xml:space="preserve">Balbigny</t>
  </si>
  <si>
    <t xml:space="preserve">04011300</t>
  </si>
  <si>
    <t xml:space="preserve">RCS</t>
  </si>
  <si>
    <t xml:space="preserve">Résultats</t>
  </si>
  <si>
    <t xml:space="preserve">Robustesse:</t>
  </si>
  <si>
    <t xml:space="preserve">F. courant</t>
  </si>
  <si>
    <t xml:space="preserve">F. lent</t>
  </si>
  <si>
    <t xml:space="preserve">station</t>
  </si>
  <si>
    <t xml:space="preserve">IBMR:</t>
  </si>
  <si>
    <t xml:space="preserve">TET.SPX</t>
  </si>
  <si>
    <t xml:space="preserve">Type de faciès</t>
  </si>
  <si>
    <t xml:space="preserve">radier</t>
  </si>
  <si>
    <t xml:space="preserve">pl. lent</t>
  </si>
  <si>
    <t xml:space="preserve">niv. trophique:</t>
  </si>
  <si>
    <t xml:space="preserve">fort</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</si>
  <si>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</si>
  <si>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</si>
  <si>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</si>
  <si>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</si>
  <si>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</si>
  <si>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</si>
  <si>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</si>
  <si>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</si>
  <si>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</si>
  <si>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</si>
  <si>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</si>
  <si>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</si>
  <si>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</si>
  <si>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</si>
  <si>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</si>
  <si>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</si>
  <si>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</si>
  <si>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</si>
  <si>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</si>
  <si>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</si>
  <si>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</si>
  <si>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</si>
  <si>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</si>
  <si>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</si>
  <si>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</si>
  <si>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</si>
  <si>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</si>
  <si>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</si>
  <si>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</si>
  <si>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</si>
  <si>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</si>
  <si>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</si>
  <si>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</si>
  <si>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</si>
  <si>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</si>
  <si>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</si>
  <si>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</si>
  <si>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</si>
  <si>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</si>
  <si>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</si>
  <si>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</si>
  <si>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</si>
  <si>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</si>
  <si>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</si>
  <si>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</si>
  <si>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</si>
  <si>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</si>
  <si>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</si>
  <si>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</si>
  <si>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</si>
  <si>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</si>
  <si>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</si>
  <si>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</si>
  <si>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</si>
  <si>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NEWCOD</t>
  </si>
  <si>
    <t xml:space="preserve">Phormidium sp.</t>
  </si>
  <si>
    <t xml:space="preserve">Cf.</t>
  </si>
  <si>
    <t xml:space="preserve">OCT.FON</t>
  </si>
  <si>
    <t xml:space="preserve">MYR.SPI</t>
  </si>
  <si>
    <t xml:space="preserve">RAN.FLU</t>
  </si>
  <si>
    <t xml:space="preserve">SPR.POL</t>
  </si>
  <si>
    <t xml:space="preserve">PHA.ARU</t>
  </si>
  <si>
    <t xml:space="preserve">ROR.AMP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</si>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</sst>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4" borderId="23" xfId="0" applyFont="true" applyBorder="true" applyAlignment="true" applyProtection="true">
      <alignment horizontal="right" vertical="top" textRotation="0" wrapText="false" indent="0" shrinkToFit="false"/>
      <protection locked="true" hidden="true"/>
    </xf>
    <xf numFmtId="167" fontId="14" fillId="4"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4" borderId="29" xfId="0" applyFont="true" applyBorder="true" applyAlignment="true" applyProtection="true">
      <alignment horizontal="left" vertical="bottom" textRotation="0" wrapText="false" indent="0" shrinkToFit="false"/>
      <protection locked="true" hidden="true"/>
    </xf>
    <xf numFmtId="164" fontId="8" fillId="4" borderId="30" xfId="0" applyFont="true" applyBorder="true" applyAlignment="true" applyProtection="true">
      <alignment horizontal="right" vertical="top" textRotation="0" wrapText="false" indent="0" shrinkToFit="false"/>
      <protection locked="true" hidden="true"/>
    </xf>
    <xf numFmtId="164" fontId="17" fillId="3"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4" fontId="0" fillId="3" borderId="47" xfId="0" applyFont="true" applyBorder="true" applyAlignment="true" applyProtection="true">
      <alignment horizontal="general" vertical="bottom" textRotation="0" wrapText="false" indent="0" shrinkToFit="false"/>
      <protection locked="true" hidden="tru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8" fontId="0" fillId="8" borderId="70" xfId="0" applyFont="true" applyBorder="true" applyAlignment="true" applyProtection="true">
      <alignment horizontal="general" vertical="bottom" textRotation="0" wrapText="false" indent="0" shrinkToFit="false"/>
      <protection locked="true" hidden="true"/>
    </xf>
    <xf numFmtId="164" fontId="15" fillId="5" borderId="45" xfId="0" applyFont="true" applyBorder="true" applyAlignment="true" applyProtection="true">
      <alignment horizontal="general" vertical="bottom" textRotation="0" wrapText="false" indent="0" shrinkToFit="false"/>
      <protection locked="false" hidden="false"/>
    </xf>
    <xf numFmtId="164" fontId="0" fillId="6" borderId="71" xfId="0" applyFont="false" applyBorder="true" applyAlignment="true" applyProtection="true">
      <alignment horizontal="general"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5" borderId="12" xfId="0" applyFont="true" applyBorder="true" applyAlignment="true" applyProtection="true">
      <alignment horizontal="general" vertical="bottom" textRotation="0" wrapText="false" indent="0" shrinkToFit="false"/>
      <protection locked="false" hidden="fals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true" applyBorder="true" applyAlignment="true" applyProtection="true">
      <alignment horizontal="left" vertical="bottom" textRotation="0" wrapText="false" indent="0" shrinkToFit="false"/>
      <protection locked="true" hidden="true"/>
    </xf>
    <xf numFmtId="164" fontId="28" fillId="6" borderId="72" xfId="0" applyFont="true" applyBorder="true" applyAlignment="true" applyProtection="true">
      <alignment horizontal="righ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color rgb="FFFF0000"/>
      </font>
    </dxf>
    <dxf>
      <font>
        <color rgb="FFC0C0C0"/>
      </font>
    </dxf>
    <dxf>
      <font>
        <color rgb="FFFF0000"/>
      </font>
    </dxf>
    <dxf>
      <font>
        <b val="0"/>
        <i val="0"/>
        <color rgb="FF339966"/>
      </font>
    </dxf>
    <dxf>
      <font>
        <color rgb="FF808080"/>
      </font>
    </dxf>
    <dxf>
      <font>
        <color rgb="FFFF0000"/>
      </font>
    </dxf>
    <dxf>
      <font>
        <color rgb="FF339966"/>
      </font>
    </dxf>
    <dxf>
      <font>
        <color rgb="FF80808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Calculs_IBMR_GCE_RCSRA2008-LOIRE.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4" activeCellId="0" sqref="A24"/>
    </sheetView>
  </sheetViews>
  <sheetFormatPr defaultColWidth="11.4335937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8"/>
    <col collapsed="false" customWidth="true" hidden="false" outlineLevel="0" max="14" min="14" style="1" width="8.84"/>
    <col collapsed="false" customWidth="true" hidden="false" outlineLevel="0" max="15" min="15" style="1" width="8.98"/>
    <col collapsed="false" customWidth="true" hidden="true" outlineLevel="0" max="17" min="16" style="1" width="8.68"/>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39666</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8.15384615384615</v>
      </c>
      <c r="M5" s="51"/>
      <c r="N5" s="52" t="s">
        <v>15</v>
      </c>
      <c r="O5" s="53" t="n">
        <v>7.83333333333333</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35</v>
      </c>
      <c r="C7" s="65" t="n">
        <v>65</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8.5</v>
      </c>
      <c r="O8" s="82" t="n">
        <f aca="false">AVERAGE(J23:J82)</f>
        <v>1.625</v>
      </c>
      <c r="P8" s="8"/>
      <c r="Q8" s="8"/>
      <c r="R8" s="8"/>
      <c r="S8" s="8"/>
      <c r="T8" s="8"/>
      <c r="U8" s="8"/>
      <c r="V8" s="20"/>
      <c r="W8" s="21"/>
    </row>
    <row r="9" customFormat="false" ht="12.75" hidden="false" customHeight="false" outlineLevel="0" collapsed="false">
      <c r="A9" s="83" t="s">
        <v>28</v>
      </c>
      <c r="B9" s="84" t="n">
        <v>0.31</v>
      </c>
      <c r="C9" s="85" t="n">
        <v>0.07</v>
      </c>
      <c r="D9" s="86"/>
      <c r="E9" s="86"/>
      <c r="F9" s="87" t="n">
        <f aca="false">($B9*$B$7+$C9*$C$7)/100</f>
        <v>0.154</v>
      </c>
      <c r="G9" s="88"/>
      <c r="H9" s="89"/>
      <c r="I9" s="90"/>
      <c r="J9" s="91"/>
      <c r="K9" s="71"/>
      <c r="L9" s="92"/>
      <c r="M9" s="80" t="s">
        <v>29</v>
      </c>
      <c r="N9" s="81" t="n">
        <f aca="false">STDEV(I23:I82)</f>
        <v>2.1380899352994</v>
      </c>
      <c r="O9" s="82" t="n">
        <f aca="false">STDEV(J23:J82)</f>
        <v>0.744023809142845</v>
      </c>
      <c r="P9" s="8"/>
      <c r="Q9" s="8"/>
      <c r="R9" s="8"/>
      <c r="S9" s="8"/>
      <c r="T9" s="8"/>
      <c r="U9" s="8"/>
      <c r="V9" s="93"/>
      <c r="W9" s="94"/>
    </row>
    <row r="10" customFormat="false" ht="12.75" hidden="false" customHeight="false" outlineLevel="0" collapsed="false">
      <c r="A10" s="95" t="s">
        <v>30</v>
      </c>
      <c r="B10" s="96" t="n">
        <v>25</v>
      </c>
      <c r="C10" s="97" t="n">
        <v>15</v>
      </c>
      <c r="D10" s="98"/>
      <c r="E10" s="98"/>
      <c r="F10" s="87" t="n">
        <f aca="false">($B10*$B$7+$C10*$C$7)/100</f>
        <v>18.5</v>
      </c>
      <c r="G10" s="88"/>
      <c r="H10" s="99"/>
      <c r="I10" s="100"/>
      <c r="J10" s="101" t="s">
        <v>31</v>
      </c>
      <c r="K10" s="101"/>
      <c r="L10" s="102"/>
      <c r="M10" s="103" t="s">
        <v>32</v>
      </c>
      <c r="N10" s="104" t="n">
        <f aca="false">MIN(I23:I82)</f>
        <v>6</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12</v>
      </c>
      <c r="O11" s="105" t="n">
        <f aca="false">MAX(J23:J82)</f>
        <v>3</v>
      </c>
      <c r="P11" s="8"/>
      <c r="Q11" s="8"/>
      <c r="R11" s="8"/>
      <c r="S11" s="8"/>
      <c r="T11" s="8"/>
      <c r="U11" s="8"/>
    </row>
    <row r="12" customFormat="false" ht="12.75" hidden="false" customHeight="false" outlineLevel="0" collapsed="false">
      <c r="A12" s="115" t="s">
        <v>36</v>
      </c>
      <c r="B12" s="116" t="n">
        <v>0.05</v>
      </c>
      <c r="C12" s="117" t="n">
        <v>0.01</v>
      </c>
      <c r="D12" s="109"/>
      <c r="E12" s="109"/>
      <c r="F12" s="110" t="n">
        <f aca="false">($B12*$B$7+$C12*$C$7)/100</f>
        <v>0.024</v>
      </c>
      <c r="G12" s="118"/>
      <c r="H12" s="66"/>
      <c r="I12" s="119" t="s">
        <v>37</v>
      </c>
      <c r="J12" s="119"/>
      <c r="K12" s="113" t="n">
        <f aca="false">COUNTIF($G$23:$G$82,"=ALG")</f>
        <v>2</v>
      </c>
      <c r="L12" s="120"/>
      <c r="M12" s="121"/>
      <c r="N12" s="122" t="s">
        <v>31</v>
      </c>
      <c r="O12" s="123"/>
      <c r="P12" s="8"/>
      <c r="Q12" s="8"/>
      <c r="R12" s="8"/>
      <c r="S12" s="8"/>
      <c r="T12" s="8"/>
      <c r="U12" s="8"/>
    </row>
    <row r="13" customFormat="false" ht="12.75" hidden="false" customHeight="false" outlineLevel="0" collapsed="false">
      <c r="A13" s="115" t="s">
        <v>38</v>
      </c>
      <c r="B13" s="116" t="n">
        <v>0.01</v>
      </c>
      <c r="C13" s="117" t="n">
        <v>0</v>
      </c>
      <c r="D13" s="109"/>
      <c r="E13" s="109"/>
      <c r="F13" s="110" t="n">
        <f aca="false">($B13*$B$7+$C13*$C$7)/100</f>
        <v>0.0035</v>
      </c>
      <c r="G13" s="118"/>
      <c r="H13" s="66"/>
      <c r="I13" s="119" t="s">
        <v>39</v>
      </c>
      <c r="J13" s="119"/>
      <c r="K13" s="113" t="n">
        <f aca="false">COUNTIF($G$23:$G$82,"=BRm")+COUNTIF($G$23:$G$82,"=BRh")</f>
        <v>1</v>
      </c>
      <c r="L13" s="114"/>
      <c r="M13" s="124" t="s">
        <v>40</v>
      </c>
      <c r="N13" s="125" t="n">
        <f aca="false">COUNTIF(F23:F82,"&gt;0")</f>
        <v>9</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8</v>
      </c>
      <c r="O14" s="129"/>
      <c r="P14" s="8"/>
      <c r="Q14" s="8"/>
      <c r="R14" s="8"/>
      <c r="S14" s="8"/>
      <c r="T14" s="8"/>
      <c r="U14" s="8"/>
    </row>
    <row r="15" customFormat="false" ht="12.75" hidden="false" customHeight="false" outlineLevel="0" collapsed="false">
      <c r="A15" s="130" t="s">
        <v>44</v>
      </c>
      <c r="B15" s="131" t="n">
        <v>0.25</v>
      </c>
      <c r="C15" s="132" t="n">
        <v>0.06</v>
      </c>
      <c r="D15" s="109"/>
      <c r="E15" s="109"/>
      <c r="F15" s="110" t="n">
        <f aca="false">($B15*$B$7+$C15*$C$7)/100</f>
        <v>0.1265</v>
      </c>
      <c r="G15" s="118"/>
      <c r="H15" s="66"/>
      <c r="I15" s="119" t="s">
        <v>45</v>
      </c>
      <c r="J15" s="119"/>
      <c r="K15" s="113" t="n">
        <f aca="false">(COUNTIF($G$23:$G$82,"=PHy"))+(COUNTIF($G$23:$G$82,"=PHe"))+(COUNTIF($G$23:$G$82,"=PHg"))+(COUNTIF($G$23:$G$82,"=PHx"))</f>
        <v>5</v>
      </c>
      <c r="L15" s="114"/>
      <c r="M15" s="133" t="s">
        <v>46</v>
      </c>
      <c r="N15" s="134" t="n">
        <f aca="false">COUNTIF(J23:J82,"=1")</f>
        <v>4</v>
      </c>
      <c r="O15" s="135"/>
      <c r="P15" s="8"/>
      <c r="Q15" s="8"/>
      <c r="R15" s="8"/>
      <c r="S15" s="8"/>
      <c r="T15" s="8"/>
      <c r="U15" s="8"/>
    </row>
    <row r="16" customFormat="false" ht="12.75" hidden="false" customHeight="false" outlineLevel="0" collapsed="false">
      <c r="A16" s="106" t="s">
        <v>47</v>
      </c>
      <c r="B16" s="107" t="n">
        <v>0</v>
      </c>
      <c r="C16" s="108" t="n">
        <v>0</v>
      </c>
      <c r="D16" s="136"/>
      <c r="E16" s="136"/>
      <c r="F16" s="137"/>
      <c r="G16" s="137" t="n">
        <f aca="false">($B16*$B$7+$C16*$C$7)/100</f>
        <v>0</v>
      </c>
      <c r="H16" s="66"/>
      <c r="I16" s="119"/>
      <c r="J16" s="138"/>
      <c r="K16" s="138"/>
      <c r="L16" s="114"/>
      <c r="M16" s="133" t="s">
        <v>48</v>
      </c>
      <c r="N16" s="134" t="n">
        <f aca="false">COUNTIF(J23:J82,"=2")</f>
        <v>3</v>
      </c>
      <c r="O16" s="135"/>
      <c r="P16" s="8"/>
      <c r="Q16" s="8"/>
      <c r="R16" s="8"/>
      <c r="S16" s="8"/>
      <c r="T16" s="8"/>
      <c r="U16" s="8"/>
    </row>
    <row r="17" customFormat="false" ht="12.75" hidden="false" customHeight="false" outlineLevel="0" collapsed="false">
      <c r="A17" s="115" t="s">
        <v>49</v>
      </c>
      <c r="B17" s="116" t="n">
        <v>0.3</v>
      </c>
      <c r="C17" s="117" t="n">
        <v>0.04</v>
      </c>
      <c r="D17" s="109"/>
      <c r="E17" s="109"/>
      <c r="F17" s="139"/>
      <c r="G17" s="110" t="n">
        <f aca="false">($B17*$B$7+$C17*$C$7)/100</f>
        <v>0.131</v>
      </c>
      <c r="H17" s="66"/>
      <c r="I17" s="119"/>
      <c r="J17" s="119"/>
      <c r="K17" s="138"/>
      <c r="L17" s="114"/>
      <c r="M17" s="133" t="s">
        <v>50</v>
      </c>
      <c r="N17" s="134" t="n">
        <f aca="false">COUNTIF(J23:J82,"=3")</f>
        <v>1</v>
      </c>
      <c r="O17" s="135"/>
      <c r="P17" s="8"/>
      <c r="Q17" s="8"/>
      <c r="R17" s="8"/>
      <c r="S17" s="8"/>
      <c r="T17" s="8"/>
      <c r="U17" s="8"/>
    </row>
    <row r="18" customFormat="false" ht="12.75" hidden="false" customHeight="false" outlineLevel="0" collapsed="false">
      <c r="A18" s="140" t="s">
        <v>51</v>
      </c>
      <c r="B18" s="141" t="n">
        <v>0.01</v>
      </c>
      <c r="C18" s="142" t="n">
        <v>0.03</v>
      </c>
      <c r="D18" s="109"/>
      <c r="E18" s="143" t="s">
        <v>52</v>
      </c>
      <c r="F18" s="139"/>
      <c r="G18" s="110" t="n">
        <f aca="false">($B18*$B$7+$C18*$C$7)/100</f>
        <v>0.023</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0.154</v>
      </c>
      <c r="G19" s="151" t="n">
        <f aca="false">SUM(G16:G18)</f>
        <v>0.154</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0.313</v>
      </c>
      <c r="C20" s="160" t="n">
        <f aca="false">SUM(C23:C82)</f>
        <v>0.066</v>
      </c>
      <c r="D20" s="161"/>
      <c r="E20" s="162" t="s">
        <v>52</v>
      </c>
      <c r="F20" s="163" t="n">
        <f aca="false">($B20*$B$7+$C20*$C$7)/100</f>
        <v>0.15245</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0.10955</v>
      </c>
      <c r="C21" s="172" t="n">
        <f aca="false">C20*C7/100</f>
        <v>0.0429</v>
      </c>
      <c r="D21" s="109" t="str">
        <f aca="false">IF(F21=0,"",IF((ABS(F21-F19))&gt;(0.2*F21),CONCATENATE(" rec. par taxa (",F21," %) supérieur à 20 % !"),""))</f>
        <v/>
      </c>
      <c r="E21" s="173" t="str">
        <f aca="false">IF(F21=0,"",IF((ABS(F21-F19))&gt;(0.2*F21),CONCATENATE("ATTENTION : écart entre rec. par grp (",F19," %) ","et",""),""))</f>
        <v/>
      </c>
      <c r="F21" s="174" t="n">
        <f aca="false">B21+C21</f>
        <v>0.15245</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0.03</v>
      </c>
      <c r="C23" s="196" t="n">
        <v>0.01</v>
      </c>
      <c r="D23" s="197" t="str">
        <f aca="false">IF(ISERROR(VLOOKUP($A23,'[1]liste reference'!$A$7:$D$906,2,0)),IF(ISERROR(VLOOKUP($A23,'[1]liste reference'!$B$7:$D$906,1,0)),"",VLOOKUP($A23,'[1]liste reference'!$B$7:$D$906,1,0)),VLOOKUP($A23,'[1]liste reference'!$A$7:$D$906,2,0))</f>
        <v>Cladophora sp.</v>
      </c>
      <c r="E23" s="197" t="e">
        <f aca="false">IF(D23="",0,VLOOKUP(D23,D$22:D22,1,0))</f>
        <v>#N/A</v>
      </c>
      <c r="F23" s="198" t="n">
        <f aca="false">($B23*$B$7+$C23*$C$7)/100</f>
        <v>0.017</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v>
      </c>
      <c r="L23" s="204"/>
      <c r="M23" s="204"/>
      <c r="N23" s="204"/>
      <c r="O23" s="205"/>
      <c r="P23" s="206" t="n">
        <f aca="false">IF(ISTEXT(H23),"",(B23*$B$7/100)+(C23*$C$7/100))</f>
        <v>0.017</v>
      </c>
      <c r="Q23" s="207" t="n">
        <f aca="false">IF(OR(ISTEXT(H23),P23=0),"",IF(P23&lt;0.1,1,IF(P23&lt;1,2,IF(P23&lt;10,3,IF(P23&lt;50,4,IF(P23&gt;=50,5,""))))))</f>
        <v>1</v>
      </c>
      <c r="R23" s="207" t="n">
        <f aca="false">IF(ISERROR(Q23*I23),0,Q23*I23)</f>
        <v>6</v>
      </c>
      <c r="S23" s="207" t="n">
        <f aca="false">IF(ISERROR(Q23*I23*J23),0,Q23*I23*J23)</f>
        <v>6</v>
      </c>
      <c r="T23" s="207" t="n">
        <f aca="false">IF(ISERROR(Q23*J23),0,Q23*J23)</f>
        <v>1</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184</v>
      </c>
      <c r="Z23" s="210"/>
      <c r="AA23" s="211"/>
      <c r="BB23" s="8" t="n">
        <f aca="false">IF(A23="","",1)</f>
        <v>1</v>
      </c>
    </row>
    <row r="24" customFormat="false" ht="12.75" hidden="false" customHeight="false" outlineLevel="0" collapsed="false">
      <c r="A24" s="212" t="s">
        <v>75</v>
      </c>
      <c r="B24" s="213" t="n">
        <v>0.013</v>
      </c>
      <c r="C24" s="214"/>
      <c r="D24" s="215" t="str">
        <f aca="false">IF(ISERROR(VLOOKUP($A24,'[1]liste reference'!$A$7:$D$906,2,0)),IF(ISERROR(VLOOKUP($A24,'[1]liste reference'!$B$7:$D$906,1,0)),"",VLOOKUP($A24,'[1]liste reference'!$B$7:$D$906,1,0)),VLOOKUP($A24,'[1]liste reference'!$A$7:$D$906,2,0))</f>
        <v/>
      </c>
      <c r="E24" s="216" t="n">
        <f aca="false">IF(D24="",0,VLOOKUP(D24,D$22:D23,1,0))</f>
        <v>0</v>
      </c>
      <c r="F24" s="217" t="n">
        <f aca="false">($B24*$B$7+$C24*$C$7)/100</f>
        <v>0.00455</v>
      </c>
      <c r="G24" s="218" t="str">
        <f aca="false">IF(A24="","",IF(ISERROR(VLOOKUP($A24,'[1]liste reference'!$A$7:$P$906,13,0)),IF(ISERROR(VLOOKUP($A24,'[1]liste reference'!$B$7:$P$906,12,0)),"    -",VLOOKUP($A24,'[1]liste reference'!$B$7:$P$906,12,0)),VLOOKUP($A24,'[1]liste reference'!$A$7:$P$906,13,0)))</f>
        <v>    -</v>
      </c>
      <c r="H24" s="200" t="str">
        <f aca="false">IF(A24="","x",IF(ISERROR(VLOOKUP($A24,'[1]liste reference'!$A$7:$P$906,14,0)),IF(ISERROR(VLOOKUP($A24,'[1]liste reference'!$B$7:$P$906,13,0)),"x",VLOOKUP($A24,'[1]liste reference'!$B$7:$P$906,13,0)),VLOOKUP($A24,'[1]liste reference'!$A$7:$P$906,14,0)))</f>
        <v>x</v>
      </c>
      <c r="I24" s="219" t="str">
        <f aca="false">IF(ISNUMBER(H24),IF(ISERROR(VLOOKUP($A24,'[1]liste reference'!$A$7:$P$906,3,0)),IF(ISERROR(VLOOKUP($A24,'[1]liste reference'!$B$7:$P$906,2,0)),"",VLOOKUP($A24,'[1]liste reference'!$B$7:$P$906,2,0)),VLOOKUP($A24,'[1]liste reference'!$A$7:$P$906,3,0)),"")</f>
        <v/>
      </c>
      <c r="J24" s="202" t="str">
        <f aca="false">IF(ISNUMBER(H24),IF(ISERROR(VLOOKUP($A24,'[1]liste reference'!$A$7:$P$906,4,0)),IF(ISERROR(VLOOKUP($A24,'[1]liste reference'!$B$7:$P$906,3,0)),"",VLOOKUP($A24,'[1]liste reference'!$B$7:$P$906,3,0)),VLOOKUP($A24,'[1]liste reference'!$A$7:$P$906,4,0)),"")</f>
        <v/>
      </c>
      <c r="K24" s="220" t="s">
        <v>76</v>
      </c>
      <c r="L24" s="220"/>
      <c r="M24" s="220"/>
      <c r="N24" s="220"/>
      <c r="O24" s="205" t="s">
        <v>77</v>
      </c>
      <c r="P24" s="206" t="str">
        <f aca="false">IF(ISTEXT(H24),"",(B24*$B$7/100)+(C24*$C$7/100))</f>
        <v/>
      </c>
      <c r="Q24" s="207" t="str">
        <f aca="false">IF(OR(ISTEXT(H24),P24=0),"",IF(P24&lt;0.1,1,IF(P24&lt;1,2,IF(P24&lt;10,3,IF(P24&lt;50,4,IF(P24&gt;=50,5,""))))))</f>
        <v/>
      </c>
      <c r="R24" s="207" t="n">
        <f aca="false">IF(ISERROR(Q24*I24),0,Q24*I24)</f>
        <v>0</v>
      </c>
      <c r="S24" s="207" t="n">
        <f aca="false">IF(ISERROR(Q24*I24*J24),0,Q24*I24*J24)</f>
        <v>0</v>
      </c>
      <c r="T24" s="221" t="n">
        <f aca="false">IF(ISERROR(Q24*J24),0,Q24*J24)</f>
        <v>0</v>
      </c>
      <c r="U24" s="208" t="str">
        <f aca="false">IF(AND(A24="",F24=0),"",IF(F24=0,"Il manque le(s) % de rec. !",""))</f>
        <v/>
      </c>
      <c r="V24" s="222"/>
      <c r="X24" s="207" t="str">
        <f aca="false">IF(A24="new.cod","NEW.COD",IF(AND((Y24=""),ISTEXT(A24)),A24,IF(Y24="","",INDEX('[1]liste reference'!$A$7:$A$906,Y24))))</f>
        <v>NEWCOD</v>
      </c>
      <c r="Y24" s="8" t="str">
        <f aca="false">IF(ISERROR(MATCH(A24,'[1]liste reference'!$A$7:$A$906,0)),IF(ISERROR(MATCH(A24,'[1]liste reference'!$B$7:$B$906,0)),"",(MATCH(A24,'[1]liste reference'!$B$7:$B$906,0))),(MATCH(A24,'[1]liste reference'!$A$7:$A$906,0)))</f>
        <v/>
      </c>
      <c r="Z24" s="210" t="s">
        <v>77</v>
      </c>
      <c r="AA24" s="211"/>
      <c r="BB24" s="8" t="n">
        <f aca="false">IF(A24="","",1)</f>
        <v>1</v>
      </c>
    </row>
    <row r="25" customFormat="false" ht="12.75" hidden="false" customHeight="false" outlineLevel="0" collapsed="false">
      <c r="A25" s="212" t="s">
        <v>15</v>
      </c>
      <c r="B25" s="213" t="n">
        <v>0.01</v>
      </c>
      <c r="C25" s="214"/>
      <c r="D25" s="215" t="str">
        <f aca="false">IF(ISERROR(VLOOKUP($A25,'[1]liste reference'!$A$7:$D$906,2,0)),IF(ISERROR(VLOOKUP($A25,'[1]liste reference'!$B$7:$D$906,1,0)),"",VLOOKUP($A25,'[1]liste reference'!$B$7:$D$906,1,0)),VLOOKUP($A25,'[1]liste reference'!$A$7:$D$906,2,0))</f>
        <v>Tetraspora sp.</v>
      </c>
      <c r="E25" s="216" t="e">
        <f aca="false">IF(D25="",0,VLOOKUP(D25,D$22:D24,1,0))</f>
        <v>#N/A</v>
      </c>
      <c r="F25" s="217" t="n">
        <f aca="false">($B25*$B$7+$C25*$C$7)/100</f>
        <v>0.0035</v>
      </c>
      <c r="G25" s="218"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9" t="n">
        <f aca="false">IF(ISNUMBER(H25),IF(ISERROR(VLOOKUP($A25,'[1]liste reference'!$A$7:$P$906,3,0)),IF(ISERROR(VLOOKUP($A25,'[1]liste reference'!$B$7:$P$906,2,0)),"",VLOOKUP($A25,'[1]liste reference'!$B$7:$P$906,2,0)),VLOOKUP($A25,'[1]liste reference'!$A$7:$P$906,3,0)),"")</f>
        <v>12</v>
      </c>
      <c r="J25" s="202" t="n">
        <f aca="false">IF(ISNUMBER(H25),IF(ISERROR(VLOOKUP($A25,'[1]liste reference'!$A$7:$P$906,4,0)),IF(ISERROR(VLOOKUP($A25,'[1]liste reference'!$B$7:$P$906,3,0)),"",VLOOKUP($A25,'[1]liste reference'!$B$7:$P$906,3,0)),VLOOKUP($A25,'[1]liste reference'!$A$7:$P$906,4,0)),"")</f>
        <v>1</v>
      </c>
      <c r="K25" s="223" t="str">
        <f aca="false">IF(A25="NEW.COD",AA25,IF(ISTEXT($E25),"DEJA SAISI !",IF(A25="","",IF(ISERROR(VLOOKUP($A25,'[1]liste reference'!$A$7:$D$906,2,0)),IF(ISERROR(VLOOKUP($A25,'[1]liste reference'!$B$7:$D$906,1,0)),"code non répertorié ou synonyme",VLOOKUP($A25,'[1]liste reference'!$B$7:$D$906,1,0)),VLOOKUP(A25,'[1]liste reference'!$A$7:$D$906,2,0)))))</f>
        <v>code non répertorié ou synonyme</v>
      </c>
      <c r="L25" s="220"/>
      <c r="M25" s="220"/>
      <c r="N25" s="220"/>
      <c r="O25" s="205" t="s">
        <v>77</v>
      </c>
      <c r="P25" s="206" t="n">
        <f aca="false">IF(ISTEXT(H25),"",(B25*$B$7/100)+(C25*$C$7/100))</f>
        <v>0.0035</v>
      </c>
      <c r="Q25" s="207" t="n">
        <f aca="false">IF(OR(ISTEXT(H25),P25=0),"",IF(P25&lt;0.1,1,IF(P25&lt;1,2,IF(P25&lt;10,3,IF(P25&lt;50,4,IF(P25&gt;=50,5,""))))))</f>
        <v>1</v>
      </c>
      <c r="R25" s="207" t="n">
        <f aca="false">IF(ISERROR(Q25*I25),0,Q25*I25)</f>
        <v>12</v>
      </c>
      <c r="S25" s="207" t="n">
        <f aca="false">IF(ISERROR(Q25*I25*J25),0,Q25*I25*J25)</f>
        <v>12</v>
      </c>
      <c r="T25" s="221" t="n">
        <f aca="false">IF(ISERROR(Q25*J25),0,Q25*J25)</f>
        <v>1</v>
      </c>
      <c r="U25" s="208" t="str">
        <f aca="false">IF(AND(A25="",F25=0),"",IF(F25=0,"Il manque le(s) % de rec. !",""))</f>
        <v/>
      </c>
      <c r="V25" s="209"/>
      <c r="W25" s="209"/>
      <c r="X25" s="207" t="str">
        <f aca="false">IF(A25="new.cod","NEW.COD",IF(AND((Y25=""),ISTEXT(A25)),A25,IF(Y25="","",INDEX('[1]liste reference'!$A$7:$A$906,Y25))))</f>
        <v>TET.SPX</v>
      </c>
      <c r="Y25" s="8" t="n">
        <f aca="false">IF(ISERROR(MATCH(A25,'[1]liste reference'!$A$7:$A$906,0)),IF(ISERROR(MATCH(A25,'[1]liste reference'!$B$7:$B$906,0)),"",(MATCH(A25,'[1]liste reference'!$B$7:$B$906,0))),(MATCH(A25,'[1]liste reference'!$A$7:$A$906,0)))</f>
        <v>830</v>
      </c>
      <c r="Z25" s="210" t="s">
        <v>77</v>
      </c>
      <c r="AA25" s="211"/>
      <c r="BB25" s="8" t="n">
        <f aca="false">IF(A25="","",1)</f>
        <v>1</v>
      </c>
    </row>
    <row r="26" customFormat="false" ht="12.75" hidden="false" customHeight="false" outlineLevel="0" collapsed="false">
      <c r="A26" s="212" t="s">
        <v>78</v>
      </c>
      <c r="B26" s="213" t="n">
        <v>0.01</v>
      </c>
      <c r="C26" s="214"/>
      <c r="D26" s="215" t="str">
        <f aca="false">IF(ISERROR(VLOOKUP($A26,'[1]liste reference'!$A$7:$D$906,2,0)),IF(ISERROR(VLOOKUP($A26,'[1]liste reference'!$B$7:$D$906,1,0)),"",VLOOKUP($A26,'[1]liste reference'!$B$7:$D$906,1,0)),VLOOKUP($A26,'[1]liste reference'!$A$7:$D$906,2,0))</f>
        <v>Octodiceras fontanum</v>
      </c>
      <c r="E26" s="216" t="e">
        <f aca="false">IF(D26="",0,VLOOKUP(D26,D$22:D25,1,0))</f>
        <v>#N/A</v>
      </c>
      <c r="F26" s="217" t="n">
        <f aca="false">($B26*$B$7+$C26*$C$7)/100</f>
        <v>0.0035</v>
      </c>
      <c r="G26" s="218" t="str">
        <f aca="false">IF(A26="","",IF(ISERROR(VLOOKUP($A26,'[1]liste reference'!$A$7:$P$906,13,0)),IF(ISERROR(VLOOKUP($A26,'[1]liste reference'!$B$7:$P$906,12,0)),"    -",VLOOKUP($A26,'[1]liste reference'!$B$7:$P$906,12,0)),VLOOKUP($A26,'[1]liste reference'!$A$7:$P$906,13,0)))</f>
        <v>BRm</v>
      </c>
      <c r="H26" s="200" t="n">
        <f aca="false">IF(A26="","x",IF(ISERROR(VLOOKUP($A26,'[1]liste reference'!$A$7:$P$906,14,0)),IF(ISERROR(VLOOKUP($A26,'[1]liste reference'!$B$7:$P$906,13,0)),"x",VLOOKUP($A26,'[1]liste reference'!$B$7:$P$906,13,0)),VLOOKUP($A26,'[1]liste reference'!$A$7:$P$906,14,0)))</f>
        <v>5</v>
      </c>
      <c r="I26" s="219" t="n">
        <f aca="false">IF(ISNUMBER(H26),IF(ISERROR(VLOOKUP($A26,'[1]liste reference'!$A$7:$P$906,3,0)),IF(ISERROR(VLOOKUP($A26,'[1]liste reference'!$B$7:$P$906,2,0)),"",VLOOKUP($A26,'[1]liste reference'!$B$7:$P$906,2,0)),VLOOKUP($A26,'[1]liste reference'!$A$7:$P$906,3,0)),"")</f>
        <v>7</v>
      </c>
      <c r="J26" s="202" t="n">
        <f aca="false">IF(ISNUMBER(H26),IF(ISERROR(VLOOKUP($A26,'[1]liste reference'!$A$7:$P$906,4,0)),IF(ISERROR(VLOOKUP($A26,'[1]liste reference'!$B$7:$P$906,3,0)),"",VLOOKUP($A26,'[1]liste reference'!$B$7:$P$906,3,0)),VLOOKUP($A26,'[1]liste reference'!$A$7:$P$906,4,0)),"")</f>
        <v>3</v>
      </c>
      <c r="K26" s="223" t="str">
        <f aca="false">IF(A26="NEW.COD",AA26,IF(ISTEXT($E26),"DEJA SAISI !",IF(A26="","",IF(ISERROR(VLOOKUP($A26,'[1]liste reference'!$A$7:$D$906,2,0)),IF(ISERROR(VLOOKUP($A26,'[1]liste reference'!$B$7:$D$906,1,0)),"code non répertorié ou synonyme",VLOOKUP($A26,'[1]liste reference'!$B$7:$D$906,1,0)),VLOOKUP(A26,'[1]liste reference'!$A$7:$D$906,2,0)))))</f>
        <v>code non répertorié ou synonyme</v>
      </c>
      <c r="L26" s="220"/>
      <c r="M26" s="220"/>
      <c r="N26" s="220"/>
      <c r="O26" s="205"/>
      <c r="P26" s="206" t="n">
        <f aca="false">IF(ISTEXT(H26),"",(B26*$B$7/100)+(C26*$C$7/100))</f>
        <v>0.0035</v>
      </c>
      <c r="Q26" s="207" t="n">
        <f aca="false">IF(OR(ISTEXT(H26),P26=0),"",IF(P26&lt;0.1,1,IF(P26&lt;1,2,IF(P26&lt;10,3,IF(P26&lt;50,4,IF(P26&gt;=50,5,""))))))</f>
        <v>1</v>
      </c>
      <c r="R26" s="207" t="n">
        <f aca="false">IF(ISERROR(Q26*I26),0,Q26*I26)</f>
        <v>7</v>
      </c>
      <c r="S26" s="207" t="n">
        <f aca="false">IF(ISERROR(Q26*I26*J26),0,Q26*I26*J26)</f>
        <v>21</v>
      </c>
      <c r="T26" s="221" t="n">
        <f aca="false">IF(ISERROR(Q26*J26),0,Q26*J26)</f>
        <v>3</v>
      </c>
      <c r="U26" s="208" t="str">
        <f aca="false">IF(AND(A26="",F26=0),"",IF(F26=0,"Il manque le(s) % de rec. !",""))</f>
        <v/>
      </c>
      <c r="V26" s="209"/>
      <c r="X26" s="207" t="str">
        <f aca="false">IF(A26="new.cod","NEW.COD",IF(AND((Y26=""),ISTEXT(A26)),A26,IF(Y26="","",INDEX('[1]liste reference'!$A$7:$A$906,Y26))))</f>
        <v>OCT.FON</v>
      </c>
      <c r="Y26" s="8" t="n">
        <f aca="false">IF(ISERROR(MATCH(A26,'[1]liste reference'!$A$7:$A$906,0)),IF(ISERROR(MATCH(A26,'[1]liste reference'!$B$7:$B$906,0)),"",(MATCH(A26,'[1]liste reference'!$B$7:$B$906,0))),(MATCH(A26,'[1]liste reference'!$A$7:$A$906,0)))</f>
        <v>542</v>
      </c>
      <c r="Z26" s="210"/>
      <c r="AA26" s="211"/>
      <c r="BB26" s="8" t="n">
        <f aca="false">IF(A26="","",1)</f>
        <v>1</v>
      </c>
    </row>
    <row r="27" customFormat="false" ht="12.75" hidden="false" customHeight="false" outlineLevel="0" collapsed="false">
      <c r="A27" s="212" t="s">
        <v>79</v>
      </c>
      <c r="B27" s="213" t="n">
        <v>0.1</v>
      </c>
      <c r="C27" s="214" t="n">
        <v>0.01</v>
      </c>
      <c r="D27" s="215" t="str">
        <f aca="false">IF(ISERROR(VLOOKUP($A27,'[1]liste reference'!$A$7:$D$906,2,0)),IF(ISERROR(VLOOKUP($A27,'[1]liste reference'!$B$7:$D$906,1,0)),"",VLOOKUP($A27,'[1]liste reference'!$B$7:$D$906,1,0)),VLOOKUP($A27,'[1]liste reference'!$A$7:$D$906,2,0))</f>
        <v>Myriophyllum spicatum</v>
      </c>
      <c r="E27" s="216" t="e">
        <f aca="false">IF(D27="",0,VLOOKUP(D27,D$22:D26,1,0))</f>
        <v>#N/A</v>
      </c>
      <c r="F27" s="217" t="n">
        <f aca="false">($B27*$B$7+$C27*$C$7)/100</f>
        <v>0.0415</v>
      </c>
      <c r="G27" s="218" t="str">
        <f aca="false">IF(A27="","",IF(ISERROR(VLOOKUP($A27,'[1]liste reference'!$A$7:$P$906,13,0)),IF(ISERROR(VLOOKUP($A27,'[1]liste reference'!$B$7:$P$906,12,0)),"    -",VLOOKUP($A27,'[1]liste reference'!$B$7:$P$906,12,0)),VLOOKUP($A27,'[1]liste reference'!$A$7:$P$906,13,0)))</f>
        <v>PHy</v>
      </c>
      <c r="H27" s="200" t="n">
        <f aca="false">IF(A27="","x",IF(ISERROR(VLOOKUP($A27,'[1]liste reference'!$A$7:$P$906,14,0)),IF(ISERROR(VLOOKUP($A27,'[1]liste reference'!$B$7:$P$906,13,0)),"x",VLOOKUP($A27,'[1]liste reference'!$B$7:$P$906,13,0)),VLOOKUP($A27,'[1]liste reference'!$A$7:$P$906,14,0)))</f>
        <v>7</v>
      </c>
      <c r="I27" s="219" t="n">
        <f aca="false">IF(ISNUMBER(H27),IF(ISERROR(VLOOKUP($A27,'[1]liste reference'!$A$7:$P$906,3,0)),IF(ISERROR(VLOOKUP($A27,'[1]liste reference'!$B$7:$P$906,2,0)),"",VLOOKUP($A27,'[1]liste reference'!$B$7:$P$906,2,0)),VLOOKUP($A27,'[1]liste reference'!$A$7:$P$906,3,0)),"")</f>
        <v>8</v>
      </c>
      <c r="J27" s="202" t="n">
        <f aca="false">IF(ISNUMBER(H27),IF(ISERROR(VLOOKUP($A27,'[1]liste reference'!$A$7:$P$906,4,0)),IF(ISERROR(VLOOKUP($A27,'[1]liste reference'!$B$7:$P$906,3,0)),"",VLOOKUP($A27,'[1]liste reference'!$B$7:$P$906,3,0)),VLOOKUP($A27,'[1]liste reference'!$A$7:$P$906,4,0)),"")</f>
        <v>2</v>
      </c>
      <c r="K27" s="223" t="str">
        <f aca="false">IF(A27="NEW.COD",AA27,IF(ISTEXT($E27),"DEJA SAISI !",IF(A27="","",IF(ISERROR(VLOOKUP($A27,'[1]liste reference'!$A$7:$D$906,2,0)),IF(ISERROR(VLOOKUP($A27,'[1]liste reference'!$B$7:$D$906,1,0)),"code non répertorié ou synonyme",VLOOKUP($A27,'[1]liste reference'!$B$7:$D$906,1,0)),VLOOKUP(A27,'[1]liste reference'!$A$7:$D$906,2,0)))))</f>
        <v>code non répertorié ou synonyme</v>
      </c>
      <c r="L27" s="220"/>
      <c r="M27" s="220"/>
      <c r="N27" s="220"/>
      <c r="O27" s="205"/>
      <c r="P27" s="206" t="n">
        <f aca="false">IF(ISTEXT(H27),"",(B27*$B$7/100)+(C27*$C$7/100))</f>
        <v>0.0415</v>
      </c>
      <c r="Q27" s="207" t="n">
        <f aca="false">IF(OR(ISTEXT(H27),P27=0),"",IF(P27&lt;0.1,1,IF(P27&lt;1,2,IF(P27&lt;10,3,IF(P27&lt;50,4,IF(P27&gt;=50,5,""))))))</f>
        <v>1</v>
      </c>
      <c r="R27" s="207" t="n">
        <f aca="false">IF(ISERROR(Q27*I27),0,Q27*I27)</f>
        <v>8</v>
      </c>
      <c r="S27" s="207" t="n">
        <f aca="false">IF(ISERROR(Q27*I27*J27),0,Q27*I27*J27)</f>
        <v>16</v>
      </c>
      <c r="T27" s="221" t="n">
        <f aca="false">IF(ISERROR(Q27*J27),0,Q27*J27)</f>
        <v>2</v>
      </c>
      <c r="U27" s="208" t="str">
        <f aca="false">IF(AND(A27="",F27=0),"",IF(F27=0,"Il manque le(s) % de rec. !",""))</f>
        <v/>
      </c>
      <c r="V27" s="209"/>
      <c r="X27" s="207" t="str">
        <f aca="false">IF(A27="new.cod","NEW.COD",IF(AND((Y27=""),ISTEXT(A27)),A27,IF(Y27="","",INDEX('[1]liste reference'!$A$7:$A$906,Y27))))</f>
        <v>MYR.SPI</v>
      </c>
      <c r="Y27" s="8" t="n">
        <f aca="false">IF(ISERROR(MATCH(A27,'[1]liste reference'!$A$7:$A$906,0)),IF(ISERROR(MATCH(A27,'[1]liste reference'!$B$7:$B$906,0)),"",(MATCH(A27,'[1]liste reference'!$B$7:$B$906,0))),(MATCH(A27,'[1]liste reference'!$A$7:$A$906,0)))</f>
        <v>498</v>
      </c>
      <c r="Z27" s="210"/>
      <c r="AA27" s="211"/>
      <c r="BB27" s="8" t="n">
        <f aca="false">IF(A27="","",1)</f>
        <v>1</v>
      </c>
    </row>
    <row r="28" customFormat="false" ht="12.75" hidden="false" customHeight="false" outlineLevel="0" collapsed="false">
      <c r="A28" s="212" t="s">
        <v>80</v>
      </c>
      <c r="B28" s="213" t="n">
        <v>0.14</v>
      </c>
      <c r="C28" s="214" t="n">
        <v>0.02</v>
      </c>
      <c r="D28" s="215" t="str">
        <f aca="false">IF(ISERROR(VLOOKUP($A28,'[1]liste reference'!$A$7:$D$906,2,0)),IF(ISERROR(VLOOKUP($A28,'[1]liste reference'!$B$7:$D$906,1,0)),"",VLOOKUP($A28,'[1]liste reference'!$B$7:$D$906,1,0)),VLOOKUP($A28,'[1]liste reference'!$A$7:$D$906,2,0))</f>
        <v>Ranunculus fluitans</v>
      </c>
      <c r="E28" s="216" t="e">
        <f aca="false">IF(D28="",0,VLOOKUP(D28,D$17:D25,1,0))</f>
        <v>#N/A</v>
      </c>
      <c r="F28" s="217" t="n">
        <f aca="false">($B28*$B$7+$C28*$C$7)/100</f>
        <v>0.062</v>
      </c>
      <c r="G28" s="218" t="str">
        <f aca="false">IF(A28="","",IF(ISERROR(VLOOKUP($A28,'[1]liste reference'!$A$7:$P$906,13,0)),IF(ISERROR(VLOOKUP($A28,'[1]liste reference'!$B$7:$P$906,12,0)),"    -",VLOOKUP($A28,'[1]liste reference'!$B$7:$P$906,12,0)),VLOOKUP($A28,'[1]liste reference'!$A$7:$P$906,13,0)))</f>
        <v>PHy</v>
      </c>
      <c r="H28" s="200" t="n">
        <f aca="false">IF(A28="","x",IF(ISERROR(VLOOKUP($A28,'[1]liste reference'!$A$7:$P$906,14,0)),IF(ISERROR(VLOOKUP($A28,'[1]liste reference'!$B$7:$P$906,13,0)),"x",VLOOKUP($A28,'[1]liste reference'!$B$7:$P$906,13,0)),VLOOKUP($A28,'[1]liste reference'!$A$7:$P$906,14,0)))</f>
        <v>7</v>
      </c>
      <c r="I28" s="219" t="n">
        <f aca="false">IF(ISNUMBER(H28),IF(ISERROR(VLOOKUP($A28,'[1]liste reference'!$A$7:$P$906,3,0)),IF(ISERROR(VLOOKUP($A28,'[1]liste reference'!$B$7:$P$906,2,0)),"",VLOOKUP($A28,'[1]liste reference'!$B$7:$P$906,2,0)),VLOOKUP($A28,'[1]liste reference'!$A$7:$P$906,3,0)),"")</f>
        <v>10</v>
      </c>
      <c r="J28" s="202" t="n">
        <f aca="false">IF(ISNUMBER(H28),IF(ISERROR(VLOOKUP($A28,'[1]liste reference'!$A$7:$P$906,4,0)),IF(ISERROR(VLOOKUP($A28,'[1]liste reference'!$B$7:$P$906,3,0)),"",VLOOKUP($A28,'[1]liste reference'!$B$7:$P$906,3,0)),VLOOKUP($A28,'[1]liste reference'!$A$7:$P$906,4,0)),"")</f>
        <v>2</v>
      </c>
      <c r="K28" s="223" t="str">
        <f aca="false">IF(A28="NEW.COD",AA28,IF(ISTEXT($E28),"DEJA SAISI !",IF(A28="","",IF(ISERROR(VLOOKUP($A28,'[1]liste reference'!$A$7:$D$906,2,0)),IF(ISERROR(VLOOKUP($A28,'[1]liste reference'!$B$7:$D$906,1,0)),"code non répertorié ou synonyme",VLOOKUP($A28,'[1]liste reference'!$B$7:$D$906,1,0)),VLOOKUP(A28,'[1]liste reference'!$A$7:$D$906,2,0)))))</f>
        <v>code non répertorié ou synonyme</v>
      </c>
      <c r="L28" s="220"/>
      <c r="M28" s="220"/>
      <c r="N28" s="220"/>
      <c r="O28" s="205"/>
      <c r="P28" s="206" t="n">
        <f aca="false">IF(ISTEXT(H28),"",(B28*$B$7/100)+(C28*$C$7/100))</f>
        <v>0.062</v>
      </c>
      <c r="Q28" s="207" t="n">
        <f aca="false">IF(OR(ISTEXT(H28),P28=0),"",IF(P28&lt;0.1,1,IF(P28&lt;1,2,IF(P28&lt;10,3,IF(P28&lt;50,4,IF(P28&gt;=50,5,""))))))</f>
        <v>1</v>
      </c>
      <c r="R28" s="207" t="n">
        <f aca="false">IF(ISERROR(Q28*I28),0,Q28*I28)</f>
        <v>10</v>
      </c>
      <c r="S28" s="207" t="n">
        <f aca="false">IF(ISERROR(Q28*I28*J28),0,Q28*I28*J28)</f>
        <v>20</v>
      </c>
      <c r="T28" s="221" t="n">
        <f aca="false">IF(ISERROR(Q28*J28),0,Q28*J28)</f>
        <v>2</v>
      </c>
      <c r="U28" s="208" t="str">
        <f aca="false">IF(AND(A28="",F28=0),"",IF(F28=0,"Il manque le(s) % de rec. !",""))</f>
        <v/>
      </c>
      <c r="V28" s="209"/>
      <c r="X28" s="207" t="str">
        <f aca="false">IF(A28="new.cod","NEW.COD",IF(AND((Y28=""),ISTEXT(A28)),A28,IF(Y28="","",INDEX('[1]liste reference'!$A$7:$A$906,Y28))))</f>
        <v>RAN.FLU</v>
      </c>
      <c r="Y28" s="8" t="n">
        <f aca="false">IF(ISERROR(MATCH(A28,'[1]liste reference'!$A$7:$A$906,0)),IF(ISERROR(MATCH(A28,'[1]liste reference'!$B$7:$B$906,0)),"",(MATCH(A28,'[1]liste reference'!$B$7:$B$906,0))),(MATCH(A28,'[1]liste reference'!$A$7:$A$906,0)))</f>
        <v>673</v>
      </c>
      <c r="Z28" s="210"/>
      <c r="AA28" s="211"/>
      <c r="BB28" s="8" t="n">
        <f aca="false">IF(A28="","",1)</f>
        <v>1</v>
      </c>
    </row>
    <row r="29" customFormat="false" ht="12.75" hidden="false" customHeight="false" outlineLevel="0" collapsed="false">
      <c r="A29" s="212" t="s">
        <v>81</v>
      </c>
      <c r="B29" s="213"/>
      <c r="C29" s="214" t="n">
        <v>0.001</v>
      </c>
      <c r="D29" s="215" t="str">
        <f aca="false">IF(ISERROR(VLOOKUP($A29,'[1]liste reference'!$A$7:$D$906,2,0)),IF(ISERROR(VLOOKUP($A29,'[1]liste reference'!$B$7:$D$906,1,0)),"",VLOOKUP($A29,'[1]liste reference'!$B$7:$D$906,1,0)),VLOOKUP($A29,'[1]liste reference'!$A$7:$D$906,2,0))</f>
        <v>Spirodela polyrhiza</v>
      </c>
      <c r="E29" s="216" t="e">
        <f aca="false">IF(D29="",0,VLOOKUP(D29,D$22:D28,1,0))</f>
        <v>#N/A</v>
      </c>
      <c r="F29" s="217" t="n">
        <f aca="false">($B29*$B$7+$C29*$C$7)/100</f>
        <v>0.00065</v>
      </c>
      <c r="G29" s="218" t="str">
        <f aca="false">IF(A29="","",IF(ISERROR(VLOOKUP($A29,'[1]liste reference'!$A$7:$P$906,13,0)),IF(ISERROR(VLOOKUP($A29,'[1]liste reference'!$B$7:$P$906,12,0)),"    -",VLOOKUP($A29,'[1]liste reference'!$B$7:$P$906,12,0)),VLOOKUP($A29,'[1]liste reference'!$A$7:$P$906,13,0)))</f>
        <v>PHy</v>
      </c>
      <c r="H29" s="200" t="n">
        <f aca="false">IF(A29="","x",IF(ISERROR(VLOOKUP($A29,'[1]liste reference'!$A$7:$P$906,14,0)),IF(ISERROR(VLOOKUP($A29,'[1]liste reference'!$B$7:$P$906,13,0)),"x",VLOOKUP($A29,'[1]liste reference'!$B$7:$P$906,13,0)),VLOOKUP($A29,'[1]liste reference'!$A$7:$P$906,14,0)))</f>
        <v>7</v>
      </c>
      <c r="I29" s="219" t="n">
        <f aca="false">IF(ISNUMBER(H29),IF(ISERROR(VLOOKUP($A29,'[1]liste reference'!$A$7:$P$906,3,0)),IF(ISERROR(VLOOKUP($A29,'[1]liste reference'!$B$7:$P$906,2,0)),"",VLOOKUP($A29,'[1]liste reference'!$B$7:$P$906,2,0)),VLOOKUP($A29,'[1]liste reference'!$A$7:$P$906,3,0)),"")</f>
        <v>6</v>
      </c>
      <c r="J29" s="202" t="n">
        <f aca="false">IF(ISNUMBER(H29),IF(ISERROR(VLOOKUP($A29,'[1]liste reference'!$A$7:$P$906,4,0)),IF(ISERROR(VLOOKUP($A29,'[1]liste reference'!$B$7:$P$906,3,0)),"",VLOOKUP($A29,'[1]liste reference'!$B$7:$P$906,3,0)),VLOOKUP($A29,'[1]liste reference'!$A$7:$P$906,4,0)),"")</f>
        <v>2</v>
      </c>
      <c r="K29" s="223" t="str">
        <f aca="false">IF(A29="NEW.COD",AA29,IF(ISTEXT($E29),"DEJA SAISI !",IF(A29="","",IF(ISERROR(VLOOKUP($A29,'[1]liste reference'!$A$7:$D$906,2,0)),IF(ISERROR(VLOOKUP($A29,'[1]liste reference'!$B$7:$D$906,1,0)),"code non répertorié ou synonyme",VLOOKUP($A29,'[1]liste reference'!$B$7:$D$906,1,0)),VLOOKUP(A29,'[1]liste reference'!$A$7:$D$906,2,0)))))</f>
        <v>code non répertorié ou synonyme</v>
      </c>
      <c r="L29" s="220"/>
      <c r="M29" s="220"/>
      <c r="N29" s="220"/>
      <c r="O29" s="205"/>
      <c r="P29" s="206" t="n">
        <f aca="false">IF(ISTEXT(H29),"",(B29*$B$7/100)+(C29*$C$7/100))</f>
        <v>0.00065</v>
      </c>
      <c r="Q29" s="207" t="n">
        <f aca="false">IF(OR(ISTEXT(H29),P29=0),"",IF(P29&lt;0.1,1,IF(P29&lt;1,2,IF(P29&lt;10,3,IF(P29&lt;50,4,IF(P29&gt;=50,5,""))))))</f>
        <v>1</v>
      </c>
      <c r="R29" s="207" t="n">
        <f aca="false">IF(ISERROR(Q29*I29),0,Q29*I29)</f>
        <v>6</v>
      </c>
      <c r="S29" s="207" t="n">
        <f aca="false">IF(ISERROR(Q29*I29*J29),0,Q29*I29*J29)</f>
        <v>12</v>
      </c>
      <c r="T29" s="221" t="n">
        <f aca="false">IF(ISERROR(Q29*J29),0,Q29*J29)</f>
        <v>2</v>
      </c>
      <c r="U29" s="208" t="str">
        <f aca="false">IF(AND(A29="",F29=0),"",IF(F29=0,"Il manque le(s) % de rec. !",""))</f>
        <v/>
      </c>
      <c r="V29" s="209"/>
      <c r="X29" s="207" t="str">
        <f aca="false">IF(A29="new.cod","NEW.COD",IF(AND((Y29=""),ISTEXT(A29)),A29,IF(Y29="","",INDEX('[1]liste reference'!$A$7:$A$906,Y29))))</f>
        <v>SPR.POL</v>
      </c>
      <c r="Y29" s="8" t="n">
        <f aca="false">IF(ISERROR(MATCH(A29,'[1]liste reference'!$A$7:$A$906,0)),IF(ISERROR(MATCH(A29,'[1]liste reference'!$B$7:$B$906,0)),"",(MATCH(A29,'[1]liste reference'!$B$7:$B$906,0))),(MATCH(A29,'[1]liste reference'!$A$7:$A$906,0)))</f>
        <v>818</v>
      </c>
      <c r="Z29" s="210"/>
      <c r="AA29" s="211"/>
      <c r="BB29" s="8" t="n">
        <f aca="false">IF(A29="","",1)</f>
        <v>1</v>
      </c>
    </row>
    <row r="30" customFormat="false" ht="12.75" hidden="false" customHeight="false" outlineLevel="0" collapsed="false">
      <c r="A30" s="212" t="s">
        <v>82</v>
      </c>
      <c r="B30" s="213" t="n">
        <v>0.01</v>
      </c>
      <c r="C30" s="214" t="n">
        <v>0.02</v>
      </c>
      <c r="D30" s="215" t="str">
        <f aca="false">IF(ISERROR(VLOOKUP($A30,'[1]liste reference'!$A$7:$D$906,2,0)),IF(ISERROR(VLOOKUP($A30,'[1]liste reference'!$B$7:$D$906,1,0)),"",VLOOKUP($A30,'[1]liste reference'!$B$7:$D$906,1,0)),VLOOKUP($A30,'[1]liste reference'!$A$7:$D$906,2,0))</f>
        <v>Phalaris arundinacea</v>
      </c>
      <c r="E30" s="216" t="e">
        <f aca="false">IF(D30="",0,VLOOKUP(D30,D$22:D29,1,0))</f>
        <v>#N/A</v>
      </c>
      <c r="F30" s="217" t="n">
        <f aca="false">($B30*$B$7+$C30*$C$7)/100</f>
        <v>0.0165</v>
      </c>
      <c r="G30" s="218" t="str">
        <f aca="false">IF(A30="","",IF(ISERROR(VLOOKUP($A30,'[1]liste reference'!$A$7:$P$906,13,0)),IF(ISERROR(VLOOKUP($A30,'[1]liste reference'!$B$7:$P$906,12,0)),"    -",VLOOKUP($A30,'[1]liste reference'!$B$7:$P$906,12,0)),VLOOKUP($A30,'[1]liste reference'!$A$7:$P$906,13,0)))</f>
        <v>PHe</v>
      </c>
      <c r="H30" s="200" t="n">
        <f aca="false">IF(A30="","x",IF(ISERROR(VLOOKUP($A30,'[1]liste reference'!$A$7:$P$906,14,0)),IF(ISERROR(VLOOKUP($A30,'[1]liste reference'!$B$7:$P$906,13,0)),"x",VLOOKUP($A30,'[1]liste reference'!$B$7:$P$906,13,0)),VLOOKUP($A30,'[1]liste reference'!$A$7:$P$906,14,0)))</f>
        <v>8</v>
      </c>
      <c r="I30" s="219" t="n">
        <f aca="false">IF(ISNUMBER(H30),IF(ISERROR(VLOOKUP($A30,'[1]liste reference'!$A$7:$P$906,3,0)),IF(ISERROR(VLOOKUP($A30,'[1]liste reference'!$B$7:$P$906,2,0)),"",VLOOKUP($A30,'[1]liste reference'!$B$7:$P$906,2,0)),VLOOKUP($A30,'[1]liste reference'!$A$7:$P$906,3,0)),"")</f>
        <v>10</v>
      </c>
      <c r="J30" s="202" t="n">
        <f aca="false">IF(ISNUMBER(H30),IF(ISERROR(VLOOKUP($A30,'[1]liste reference'!$A$7:$P$906,4,0)),IF(ISERROR(VLOOKUP($A30,'[1]liste reference'!$B$7:$P$906,3,0)),"",VLOOKUP($A30,'[1]liste reference'!$B$7:$P$906,3,0)),VLOOKUP($A30,'[1]liste reference'!$A$7:$P$906,4,0)),"")</f>
        <v>1</v>
      </c>
      <c r="K30" s="223" t="str">
        <f aca="false">IF(A30="NEW.COD",AA30,IF(ISTEXT($E30),"DEJA SAISI !",IF(A30="","",IF(ISERROR(VLOOKUP($A30,'[1]liste reference'!$A$7:$D$906,2,0)),IF(ISERROR(VLOOKUP($A30,'[1]liste reference'!$B$7:$D$906,1,0)),"code non répertorié ou synonyme",VLOOKUP($A30,'[1]liste reference'!$B$7:$D$906,1,0)),VLOOKUP(A30,'[1]liste reference'!$A$7:$D$906,2,0)))))</f>
        <v>code non répertorié ou synonyme</v>
      </c>
      <c r="L30" s="220"/>
      <c r="M30" s="220"/>
      <c r="N30" s="220"/>
      <c r="O30" s="205"/>
      <c r="P30" s="206" t="n">
        <f aca="false">IF(ISTEXT(H30),"",(B30*$B$7/100)+(C30*$C$7/100))</f>
        <v>0.0165</v>
      </c>
      <c r="Q30" s="207" t="n">
        <f aca="false">IF(OR(ISTEXT(H30),P30=0),"",IF(P30&lt;0.1,1,IF(P30&lt;1,2,IF(P30&lt;10,3,IF(P30&lt;50,4,IF(P30&gt;=50,5,""))))))</f>
        <v>1</v>
      </c>
      <c r="R30" s="207" t="n">
        <f aca="false">IF(ISERROR(Q30*I30),0,Q30*I30)</f>
        <v>10</v>
      </c>
      <c r="S30" s="207" t="n">
        <f aca="false">IF(ISERROR(Q30*I30*J30),0,Q30*I30*J30)</f>
        <v>10</v>
      </c>
      <c r="T30" s="221" t="n">
        <f aca="false">IF(ISERROR(Q30*J30),0,Q30*J30)</f>
        <v>1</v>
      </c>
      <c r="U30" s="208" t="str">
        <f aca="false">IF(AND(A30="",F30=0),"",IF(F30=0,"Il manque le(s) % de rec. !",""))</f>
        <v/>
      </c>
      <c r="V30" s="209"/>
      <c r="X30" s="207" t="str">
        <f aca="false">IF(A30="new.cod","NEW.COD",IF(AND((Y30=""),ISTEXT(A30)),A30,IF(Y30="","",INDEX('[1]liste reference'!$A$7:$A$906,Y30))))</f>
        <v>PHA.ARU</v>
      </c>
      <c r="Y30" s="8" t="n">
        <f aca="false">IF(ISERROR(MATCH(A30,'[1]liste reference'!$A$7:$A$906,0)),IF(ISERROR(MATCH(A30,'[1]liste reference'!$B$7:$B$906,0)),"",(MATCH(A30,'[1]liste reference'!$B$7:$B$906,0))),(MATCH(A30,'[1]liste reference'!$A$7:$A$906,0)))</f>
        <v>567</v>
      </c>
      <c r="Z30" s="210"/>
      <c r="AA30" s="211"/>
      <c r="BB30" s="8" t="n">
        <f aca="false">IF(A30="","",1)</f>
        <v>1</v>
      </c>
    </row>
    <row r="31" customFormat="false" ht="12.75" hidden="false" customHeight="false" outlineLevel="0" collapsed="false">
      <c r="A31" s="212" t="s">
        <v>83</v>
      </c>
      <c r="B31" s="213"/>
      <c r="C31" s="214" t="n">
        <v>0.005</v>
      </c>
      <c r="D31" s="215" t="str">
        <f aca="false">IF(ISERROR(VLOOKUP($A31,'[1]liste reference'!$A$7:$D$906,2,0)),IF(ISERROR(VLOOKUP($A31,'[1]liste reference'!$B$7:$D$906,1,0)),"",VLOOKUP($A31,'[1]liste reference'!$B$7:$D$906,1,0)),VLOOKUP($A31,'[1]liste reference'!$A$7:$D$906,2,0))</f>
        <v>Rorippa amphibia</v>
      </c>
      <c r="E31" s="216" t="e">
        <f aca="false">IF(D31="",0,VLOOKUP(D31,D$22:D30,1,0))</f>
        <v>#N/A</v>
      </c>
      <c r="F31" s="217" t="n">
        <f aca="false">($B31*$B$7+$C31*$C$7)/100</f>
        <v>0.00325</v>
      </c>
      <c r="G31" s="218" t="str">
        <f aca="false">IF(A31="","",IF(ISERROR(VLOOKUP($A31,'[1]liste reference'!$A$7:$P$906,13,0)),IF(ISERROR(VLOOKUP($A31,'[1]liste reference'!$B$7:$P$906,12,0)),"    -",VLOOKUP($A31,'[1]liste reference'!$B$7:$P$906,12,0)),VLOOKUP($A31,'[1]liste reference'!$A$7:$P$906,13,0)))</f>
        <v>PHe</v>
      </c>
      <c r="H31" s="200" t="n">
        <f aca="false">IF(A31="","x",IF(ISERROR(VLOOKUP($A31,'[1]liste reference'!$A$7:$P$906,14,0)),IF(ISERROR(VLOOKUP($A31,'[1]liste reference'!$B$7:$P$906,13,0)),"x",VLOOKUP($A31,'[1]liste reference'!$B$7:$P$906,13,0)),VLOOKUP($A31,'[1]liste reference'!$A$7:$P$906,14,0)))</f>
        <v>8</v>
      </c>
      <c r="I31" s="219" t="n">
        <f aca="false">IF(ISNUMBER(H31),IF(ISERROR(VLOOKUP($A31,'[1]liste reference'!$A$7:$P$906,3,0)),IF(ISERROR(VLOOKUP($A31,'[1]liste reference'!$B$7:$P$906,2,0)),"",VLOOKUP($A31,'[1]liste reference'!$B$7:$P$906,2,0)),VLOOKUP($A31,'[1]liste reference'!$A$7:$P$906,3,0)),"")</f>
        <v>9</v>
      </c>
      <c r="J31" s="202" t="n">
        <f aca="false">IF(ISNUMBER(H31),IF(ISERROR(VLOOKUP($A31,'[1]liste reference'!$A$7:$P$906,4,0)),IF(ISERROR(VLOOKUP($A31,'[1]liste reference'!$B$7:$P$906,3,0)),"",VLOOKUP($A31,'[1]liste reference'!$B$7:$P$906,3,0)),VLOOKUP($A31,'[1]liste reference'!$A$7:$P$906,4,0)),"")</f>
        <v>1</v>
      </c>
      <c r="K31" s="223" t="str">
        <f aca="false">IF(A31="NEW.COD",AA31,IF(ISTEXT($E31),"DEJA SAISI !",IF(A31="","",IF(ISERROR(VLOOKUP($A31,'[1]liste reference'!$A$7:$D$906,2,0)),IF(ISERROR(VLOOKUP($A31,'[1]liste reference'!$B$7:$D$906,1,0)),"code non répertorié ou synonyme",VLOOKUP($A31,'[1]liste reference'!$B$7:$D$906,1,0)),VLOOKUP(A31,'[1]liste reference'!$A$7:$D$906,2,0)))))</f>
        <v>code non répertorié ou synonyme</v>
      </c>
      <c r="L31" s="220"/>
      <c r="M31" s="220"/>
      <c r="N31" s="220"/>
      <c r="O31" s="205"/>
      <c r="P31" s="206" t="n">
        <f aca="false">IF(ISTEXT(H31),"",(B31*$B$7/100)+(C31*$C$7/100))</f>
        <v>0.00325</v>
      </c>
      <c r="Q31" s="207" t="n">
        <f aca="false">IF(OR(ISTEXT(H31),P31=0),"",IF(P31&lt;0.1,1,IF(P31&lt;1,2,IF(P31&lt;10,3,IF(P31&lt;50,4,IF(P31&gt;=50,5,""))))))</f>
        <v>1</v>
      </c>
      <c r="R31" s="207" t="n">
        <f aca="false">IF(ISERROR(Q31*I31),0,Q31*I31)</f>
        <v>9</v>
      </c>
      <c r="S31" s="207" t="n">
        <f aca="false">IF(ISERROR(Q31*I31*J31),0,Q31*I31*J31)</f>
        <v>9</v>
      </c>
      <c r="T31" s="221" t="n">
        <f aca="false">IF(ISERROR(Q31*J31),0,Q31*J31)</f>
        <v>1</v>
      </c>
      <c r="U31" s="208" t="str">
        <f aca="false">IF(AND(A31="",F31=0),"",IF(F31=0,"Il manque le(s) % de rec. !",""))</f>
        <v/>
      </c>
      <c r="V31" s="209"/>
      <c r="W31" s="209"/>
      <c r="X31" s="207" t="str">
        <f aca="false">IF(A31="new.cod","NEW.COD",IF(AND((Y31=""),ISTEXT(A31)),A31,IF(Y31="","",INDEX('[1]liste reference'!$A$7:$A$906,Y31))))</f>
        <v>ROR.AMP</v>
      </c>
      <c r="Y31" s="8" t="n">
        <f aca="false">IF(ISERROR(MATCH(A31,'[1]liste reference'!$A$7:$A$906,0)),IF(ISERROR(MATCH(A31,'[1]liste reference'!$B$7:$B$906,0)),"",(MATCH(A31,'[1]liste reference'!$B$7:$B$906,0))),(MATCH(A31,'[1]liste reference'!$A$7:$A$906,0)))</f>
        <v>721</v>
      </c>
      <c r="Z31" s="210"/>
      <c r="AA31" s="211"/>
      <c r="BB31" s="8" t="n">
        <f aca="false">IF(A31="","",1)</f>
        <v>1</v>
      </c>
    </row>
    <row r="32" customFormat="false" ht="12.75" hidden="false" customHeight="false" outlineLevel="0" collapsed="false">
      <c r="A32" s="212"/>
      <c r="B32" s="213"/>
      <c r="C32" s="214"/>
      <c r="D32" s="215" t="str">
        <f aca="false">IF(ISERROR(VLOOKUP($A32,'[1]liste reference'!$A$7:$D$906,2,0)),IF(ISERROR(VLOOKUP($A32,'[1]liste reference'!$B$7:$D$906,1,0)),"",VLOOKUP($A32,'[1]liste reference'!$B$7:$D$906,1,0)),VLOOKUP($A32,'[1]liste reference'!$A$7:$D$906,2,0))</f>
        <v/>
      </c>
      <c r="E32" s="216" t="n">
        <f aca="false">IF(D32="",0,VLOOKUP(D32,D$20:D27,1,0))</f>
        <v>0</v>
      </c>
      <c r="F32" s="217" t="n">
        <f aca="false">($B32*$B$7+$C32*$C$7)/100</f>
        <v>0</v>
      </c>
      <c r="G32" s="218" t="str">
        <f aca="false">IF(A32="","",IF(ISERROR(VLOOKUP($A32,'[1]liste reference'!$A$7:$P$906,13,0)),IF(ISERROR(VLOOKUP($A32,'[1]liste reference'!$B$7:$P$906,12,0)),"    -",VLOOKUP($A32,'[1]liste reference'!$B$7:$P$906,12,0)),VLOOKUP($A32,'[1]liste reference'!$A$7:$P$906,13,0)))</f>
        <v/>
      </c>
      <c r="H32" s="200" t="str">
        <f aca="false">IF(A32="","x",IF(ISERROR(VLOOKUP($A32,'[1]liste reference'!$A$7:$P$906,14,0)),IF(ISERROR(VLOOKUP($A32,'[1]liste reference'!$B$7:$P$906,13,0)),"x",VLOOKUP($A32,'[1]liste reference'!$B$7:$P$906,13,0)),VLOOKUP($A32,'[1]liste reference'!$A$7:$P$906,14,0)))</f>
        <v>x</v>
      </c>
      <c r="I32" s="219" t="str">
        <f aca="false">IF(ISNUMBER(H32),IF(ISERROR(VLOOKUP($A32,'[1]liste reference'!$A$7:$P$906,3,0)),IF(ISERROR(VLOOKUP($A32,'[1]liste reference'!$B$7:$P$906,2,0)),"",VLOOKUP($A32,'[1]liste reference'!$B$7:$P$906,2,0)),VLOOKUP($A32,'[1]liste reference'!$A$7:$P$906,3,0)),"")</f>
        <v/>
      </c>
      <c r="J32" s="202" t="str">
        <f aca="false">IF(ISNUMBER(H32),IF(ISERROR(VLOOKUP($A32,'[1]liste reference'!$A$7:$P$906,4,0)),IF(ISERROR(VLOOKUP($A32,'[1]liste reference'!$B$7:$P$906,3,0)),"",VLOOKUP($A32,'[1]liste reference'!$B$7:$P$906,3,0)),VLOOKUP($A32,'[1]liste reference'!$A$7:$P$906,4,0)),"")</f>
        <v/>
      </c>
      <c r="K32" s="223" t="str">
        <f aca="false">IF(A32="NEW.COD",AA32,IF(ISTEXT($E32),"DEJA SAISI !",IF(A32="","",IF(ISERROR(VLOOKUP($A32,'[1]liste reference'!$A$7:$D$906,2,0)),IF(ISERROR(VLOOKUP($A32,'[1]liste reference'!$B$7:$D$906,1,0)),"code non répertorié ou synonyme",VLOOKUP($A32,'[1]liste reference'!$B$7:$D$906,1,0)),VLOOKUP(A32,'[1]liste reference'!$A$7:$D$906,2,0)))))</f>
        <v/>
      </c>
      <c r="L32" s="220"/>
      <c r="M32" s="220"/>
      <c r="N32" s="220"/>
      <c r="O32" s="205"/>
      <c r="P32" s="206" t="str">
        <f aca="false">IF(ISTEXT(H32),"",(B32*$B$7/100)+(C32*$C$7/100))</f>
        <v/>
      </c>
      <c r="Q32" s="207" t="str">
        <f aca="false">IF(OR(ISTEXT(H32),P32=0),"",IF(P32&lt;0.1,1,IF(P32&lt;1,2,IF(P32&lt;10,3,IF(P32&lt;50,4,IF(P32&gt;=50,5,""))))))</f>
        <v/>
      </c>
      <c r="R32" s="207" t="n">
        <f aca="false">IF(ISERROR(Q32*I32),0,Q32*I32)</f>
        <v>0</v>
      </c>
      <c r="S32" s="207" t="n">
        <f aca="false">IF(ISERROR(Q32*I32*J32),0,Q32*I32*J32)</f>
        <v>0</v>
      </c>
      <c r="T32" s="221" t="n">
        <f aca="false">IF(ISERROR(Q32*J32),0,Q32*J32)</f>
        <v>0</v>
      </c>
      <c r="U32" s="208" t="str">
        <f aca="false">IF(AND(A32="",F32=0),"",IF(F32=0,"Il manque le(s) % de rec. !",""))</f>
        <v/>
      </c>
      <c r="V32" s="209"/>
      <c r="X32" s="207" t="str">
        <f aca="false">IF(A32="new.cod","NEW.COD",IF(AND((Y32=""),ISTEXT(A32)),A32,IF(Y32="","",INDEX('[1]liste reference'!$A$7:$A$906,Y32))))</f>
        <v/>
      </c>
      <c r="Y32" s="8" t="str">
        <f aca="false">IF(ISERROR(MATCH(A32,'[1]liste reference'!$A$7:$A$906,0)),IF(ISERROR(MATCH(A32,'[1]liste reference'!$B$7:$B$906,0)),"",(MATCH(A32,'[1]liste reference'!$B$7:$B$906,0))),(MATCH(A32,'[1]liste reference'!$A$7:$A$906,0)))</f>
        <v/>
      </c>
      <c r="Z32" s="210"/>
      <c r="AA32" s="211"/>
      <c r="BB32" s="8" t="str">
        <f aca="false">IF(A32="","",1)</f>
        <v/>
      </c>
    </row>
    <row r="33" customFormat="false" ht="12.75" hidden="false" customHeight="false" outlineLevel="0" collapsed="false">
      <c r="A33" s="212"/>
      <c r="B33" s="213"/>
      <c r="C33" s="214"/>
      <c r="D33" s="215" t="str">
        <f aca="false">IF(ISERROR(VLOOKUP($A33,'[1]liste reference'!$A$7:$D$906,2,0)),IF(ISERROR(VLOOKUP($A33,'[1]liste reference'!$B$7:$D$906,1,0)),"",VLOOKUP($A33,'[1]liste reference'!$B$7:$D$906,1,0)),VLOOKUP($A33,'[1]liste reference'!$A$7:$D$906,2,0))</f>
        <v/>
      </c>
      <c r="E33" s="216" t="n">
        <f aca="false">IF(D33="",0,VLOOKUP(D33,D$21:D22,1,0))</f>
        <v>0</v>
      </c>
      <c r="F33" s="217" t="n">
        <f aca="false">($B33*$B$7+$C33*$C$7)/100</f>
        <v>0</v>
      </c>
      <c r="G33" s="218" t="str">
        <f aca="false">IF(A33="","",IF(ISERROR(VLOOKUP($A33,'[1]liste reference'!$A$7:$P$906,13,0)),IF(ISERROR(VLOOKUP($A33,'[1]liste reference'!$B$7:$P$906,12,0)),"    -",VLOOKUP($A33,'[1]liste reference'!$B$7:$P$906,12,0)),VLOOKUP($A33,'[1]liste reference'!$A$7:$P$906,13,0)))</f>
        <v/>
      </c>
      <c r="H33" s="200" t="str">
        <f aca="false">IF(A33="","x",IF(ISERROR(VLOOKUP($A33,'[1]liste reference'!$A$7:$P$906,14,0)),IF(ISERROR(VLOOKUP($A33,'[1]liste reference'!$B$7:$P$906,13,0)),"x",VLOOKUP($A33,'[1]liste reference'!$B$7:$P$906,13,0)),VLOOKUP($A33,'[1]liste reference'!$A$7:$P$906,14,0)))</f>
        <v>x</v>
      </c>
      <c r="I33" s="219" t="str">
        <f aca="false">IF(ISNUMBER(H33),IF(ISERROR(VLOOKUP($A33,'[1]liste reference'!$A$7:$P$906,3,0)),IF(ISERROR(VLOOKUP($A33,'[1]liste reference'!$B$7:$P$906,2,0)),"",VLOOKUP($A33,'[1]liste reference'!$B$7:$P$906,2,0)),VLOOKUP($A33,'[1]liste reference'!$A$7:$P$906,3,0)),"")</f>
        <v/>
      </c>
      <c r="J33" s="202" t="str">
        <f aca="false">IF(ISNUMBER(H33),IF(ISERROR(VLOOKUP($A33,'[1]liste reference'!$A$7:$P$906,4,0)),IF(ISERROR(VLOOKUP($A33,'[1]liste reference'!$B$7:$P$906,3,0)),"",VLOOKUP($A33,'[1]liste reference'!$B$7:$P$906,3,0)),VLOOKUP($A33,'[1]liste reference'!$A$7:$P$906,4,0)),"")</f>
        <v/>
      </c>
      <c r="K33" s="223" t="str">
        <f aca="false">IF(A33="NEW.COD",AA33,IF(ISTEXT($E33),"DEJA SAISI !",IF(A33="","",IF(ISERROR(VLOOKUP($A33,'[1]liste reference'!$A$7:$D$906,2,0)),IF(ISERROR(VLOOKUP($A33,'[1]liste reference'!$B$7:$D$906,1,0)),"code non répertorié ou synonyme",VLOOKUP($A33,'[1]liste reference'!$B$7:$D$906,1,0)),VLOOKUP(A33,'[1]liste reference'!$A$7:$D$906,2,0)))))</f>
        <v/>
      </c>
      <c r="L33" s="220"/>
      <c r="M33" s="220"/>
      <c r="N33" s="220"/>
      <c r="O33" s="205"/>
      <c r="P33" s="206" t="str">
        <f aca="false">IF(ISTEXT(H33),"",(B33*$B$7/100)+(C33*$C$7/100))</f>
        <v/>
      </c>
      <c r="Q33" s="207" t="str">
        <f aca="false">IF(OR(ISTEXT(H33),P33=0),"",IF(P33&lt;0.1,1,IF(P33&lt;1,2,IF(P33&lt;10,3,IF(P33&lt;50,4,IF(P33&gt;=50,5,""))))))</f>
        <v/>
      </c>
      <c r="R33" s="207" t="n">
        <f aca="false">IF(ISERROR(Q33*I33),0,Q33*I33)</f>
        <v>0</v>
      </c>
      <c r="S33" s="207" t="n">
        <f aca="false">IF(ISERROR(Q33*I33*J33),0,Q33*I33*J33)</f>
        <v>0</v>
      </c>
      <c r="T33" s="221" t="n">
        <f aca="false">IF(ISERROR(Q33*J33),0,Q33*J33)</f>
        <v>0</v>
      </c>
      <c r="U33" s="208" t="str">
        <f aca="false">IF(AND(A33="",F33=0),"",IF(F33=0,"Il manque le(s) % de rec. !",""))</f>
        <v/>
      </c>
      <c r="V33" s="209"/>
      <c r="X33" s="207" t="str">
        <f aca="false">IF(A33="new.cod","NEW.COD",IF(AND((Y33=""),ISTEXT(A33)),A33,IF(Y33="","",INDEX('[1]liste reference'!$A$7:$A$906,Y33))))</f>
        <v/>
      </c>
      <c r="Y33" s="8" t="str">
        <f aca="false">IF(ISERROR(MATCH(A33,'[1]liste reference'!$A$7:$A$906,0)),IF(ISERROR(MATCH(A33,'[1]liste reference'!$B$7:$B$906,0)),"",(MATCH(A33,'[1]liste reference'!$B$7:$B$906,0))),(MATCH(A33,'[1]liste reference'!$A$7:$A$906,0)))</f>
        <v/>
      </c>
      <c r="Z33" s="210"/>
      <c r="AA33" s="211"/>
      <c r="BB33" s="8" t="str">
        <f aca="false">IF(A33="","",1)</f>
        <v/>
      </c>
    </row>
    <row r="34" customFormat="false" ht="12.75" hidden="false" customHeight="false" outlineLevel="0" collapsed="false">
      <c r="A34" s="212"/>
      <c r="B34" s="213"/>
      <c r="C34" s="214"/>
      <c r="D34" s="215" t="str">
        <f aca="false">IF(ISERROR(VLOOKUP($A34,'[1]liste reference'!$A$7:$D$906,2,0)),IF(ISERROR(VLOOKUP($A34,'[1]liste reference'!$B$7:$D$906,1,0)),"",VLOOKUP($A34,'[1]liste reference'!$B$7:$D$906,1,0)),VLOOKUP($A34,'[1]liste reference'!$A$7:$D$906,2,0))</f>
        <v/>
      </c>
      <c r="E34" s="216" t="n">
        <f aca="false">IF(D34="",0,VLOOKUP(D34,D$22:D22,1,0))</f>
        <v>0</v>
      </c>
      <c r="F34" s="224" t="n">
        <f aca="false">($B34*$B$7+$C34*$C$7)/100</f>
        <v>0</v>
      </c>
      <c r="G34" s="218" t="str">
        <f aca="false">IF(A34="","",IF(ISERROR(VLOOKUP($A34,'[1]liste reference'!$A$7:$P$906,13,0)),IF(ISERROR(VLOOKUP($A34,'[1]liste reference'!$B$7:$P$906,12,0)),"    -",VLOOKUP($A34,'[1]liste reference'!$B$7:$P$906,12,0)),VLOOKUP($A34,'[1]liste reference'!$A$7:$P$906,13,0)))</f>
        <v/>
      </c>
      <c r="H34" s="200" t="str">
        <f aca="false">IF(A34="","x",IF(ISERROR(VLOOKUP($A34,'[1]liste reference'!$A$7:$P$906,14,0)),IF(ISERROR(VLOOKUP($A34,'[1]liste reference'!$B$7:$P$906,13,0)),"x",VLOOKUP($A34,'[1]liste reference'!$B$7:$P$906,13,0)),VLOOKUP($A34,'[1]liste reference'!$A$7:$P$906,14,0)))</f>
        <v>x</v>
      </c>
      <c r="I34" s="219" t="str">
        <f aca="false">IF(ISNUMBER(H34),IF(ISERROR(VLOOKUP($A34,'[1]liste reference'!$A$7:$P$906,3,0)),IF(ISERROR(VLOOKUP($A34,'[1]liste reference'!$B$7:$P$906,2,0)),"",VLOOKUP($A34,'[1]liste reference'!$B$7:$P$906,2,0)),VLOOKUP($A34,'[1]liste reference'!$A$7:$P$906,3,0)),"")</f>
        <v/>
      </c>
      <c r="J34" s="202" t="str">
        <f aca="false">IF(ISNUMBER(H34),IF(ISERROR(VLOOKUP($A34,'[1]liste reference'!$A$7:$P$906,4,0)),IF(ISERROR(VLOOKUP($A34,'[1]liste reference'!$B$7:$P$906,3,0)),"",VLOOKUP($A34,'[1]liste reference'!$B$7:$P$906,3,0)),VLOOKUP($A34,'[1]liste reference'!$A$7:$P$906,4,0)),"")</f>
        <v/>
      </c>
      <c r="K34" s="223" t="str">
        <f aca="false">IF(A34="NEW.COD",AA34,IF(ISTEXT($E34),"DEJA SAISI !",IF(A34="","",IF(ISERROR(VLOOKUP($A34,'[1]liste reference'!$A$7:$D$906,2,0)),IF(ISERROR(VLOOKUP($A34,'[1]liste reference'!$B$7:$D$906,1,0)),"code non répertorié ou synonyme",VLOOKUP($A34,'[1]liste reference'!$B$7:$D$906,1,0)),VLOOKUP(A34,'[1]liste reference'!$A$7:$D$906,2,0)))))</f>
        <v/>
      </c>
      <c r="L34" s="220"/>
      <c r="M34" s="220"/>
      <c r="N34" s="220"/>
      <c r="O34" s="205"/>
      <c r="P34" s="206" t="str">
        <f aca="false">IF(ISTEXT(H34),"",(B34*$B$7/100)+(C34*$C$7/100))</f>
        <v/>
      </c>
      <c r="Q34" s="207" t="str">
        <f aca="false">IF(OR(ISTEXT(H34),P34=0),"",IF(P34&lt;0.1,1,IF(P34&lt;1,2,IF(P34&lt;10,3,IF(P34&lt;50,4,IF(P34&gt;=50,5,""))))))</f>
        <v/>
      </c>
      <c r="R34" s="207" t="n">
        <f aca="false">IF(ISERROR(Q34*I34),0,Q34*I34)</f>
        <v>0</v>
      </c>
      <c r="S34" s="207" t="n">
        <f aca="false">IF(ISERROR(Q34*I34*J34),0,Q34*I34*J34)</f>
        <v>0</v>
      </c>
      <c r="T34" s="221" t="n">
        <f aca="false">IF(ISERROR(Q34*J34),0,Q34*J34)</f>
        <v>0</v>
      </c>
      <c r="U34" s="208" t="str">
        <f aca="false">IF(AND(A34="",F34=0),"",IF(F34=0,"Il manque le(s) % de rec. !",""))</f>
        <v/>
      </c>
      <c r="V34" s="209"/>
      <c r="X34" s="207" t="str">
        <f aca="false">IF(A34="new.cod","NEW.COD",IF(AND((Y34=""),ISTEXT(A34)),A34,IF(Y34="","",INDEX('[1]liste reference'!$A$7:$A$906,Y34))))</f>
        <v/>
      </c>
      <c r="Y34" s="8" t="str">
        <f aca="false">IF(ISERROR(MATCH(A34,'[1]liste reference'!$A$7:$A$906,0)),IF(ISERROR(MATCH(A34,'[1]liste reference'!$B$7:$B$906,0)),"",(MATCH(A34,'[1]liste reference'!$B$7:$B$906,0))),(MATCH(A34,'[1]liste reference'!$A$7:$A$906,0)))</f>
        <v/>
      </c>
      <c r="Z34" s="210"/>
      <c r="AA34" s="211"/>
      <c r="BB34" s="8" t="str">
        <f aca="false">IF(A34="","",1)</f>
        <v/>
      </c>
    </row>
    <row r="35" customFormat="false" ht="12.75" hidden="false" customHeight="false" outlineLevel="0" collapsed="false">
      <c r="A35" s="212"/>
      <c r="B35" s="213"/>
      <c r="C35" s="214"/>
      <c r="D35" s="215" t="str">
        <f aca="false">IF(ISERROR(VLOOKUP($A35,'[1]liste reference'!$A$7:$D$906,2,0)),IF(ISERROR(VLOOKUP($A35,'[1]liste reference'!$B$7:$D$906,1,0)),"",VLOOKUP($A35,'[1]liste reference'!$B$7:$D$906,1,0)),VLOOKUP($A35,'[1]liste reference'!$A$7:$D$906,2,0))</f>
        <v/>
      </c>
      <c r="E35" s="216" t="n">
        <f aca="false">IF(D35="",0,VLOOKUP(D35,D$20:D22,1,0))</f>
        <v>0</v>
      </c>
      <c r="F35" s="224" t="n">
        <f aca="false">($B35*$B$7+$C35*$C$7)/100</f>
        <v>0</v>
      </c>
      <c r="G35" s="218" t="str">
        <f aca="false">IF(A35="","",IF(ISERROR(VLOOKUP($A35,'[1]liste reference'!$A$7:$P$906,13,0)),IF(ISERROR(VLOOKUP($A35,'[1]liste reference'!$B$7:$P$906,12,0)),"    -",VLOOKUP($A35,'[1]liste reference'!$B$7:$P$906,12,0)),VLOOKUP($A35,'[1]liste reference'!$A$7:$P$906,13,0)))</f>
        <v/>
      </c>
      <c r="H35" s="200" t="str">
        <f aca="false">IF(A35="","x",IF(ISERROR(VLOOKUP($A35,'[1]liste reference'!$A$7:$P$906,14,0)),IF(ISERROR(VLOOKUP($A35,'[1]liste reference'!$B$7:$P$906,13,0)),"x",VLOOKUP($A35,'[1]liste reference'!$B$7:$P$906,13,0)),VLOOKUP($A35,'[1]liste reference'!$A$7:$P$906,14,0)))</f>
        <v>x</v>
      </c>
      <c r="I35" s="219"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23" t="str">
        <f aca="false">IF(A35="NEW.COD",AA35,IF(ISTEXT($E35),"DEJA SAISI !",IF(A35="","",IF(ISERROR(VLOOKUP($A35,'[1]liste reference'!$A$7:$D$906,2,0)),IF(ISERROR(VLOOKUP($A35,'[1]liste reference'!$B$7:$D$906,1,0)),"code non répertorié ou synonyme",VLOOKUP($A35,'[1]liste reference'!$B$7:$D$906,1,0)),VLOOKUP(A35,'[1]liste reference'!$A$7:$D$906,2,0)))))</f>
        <v/>
      </c>
      <c r="L35" s="220"/>
      <c r="M35" s="220"/>
      <c r="N35" s="220"/>
      <c r="O35" s="205"/>
      <c r="P35" s="206" t="str">
        <f aca="false">IF(ISTEXT(H35),"",(B35*$B$7/100)+(C35*$C$7/100))</f>
        <v/>
      </c>
      <c r="Q35" s="207" t="str">
        <f aca="false">IF(OR(ISTEXT(H35),P35=0),"",IF(P35&lt;0.1,1,IF(P35&lt;1,2,IF(P35&lt;10,3,IF(P35&lt;50,4,IF(P35&gt;=50,5,""))))))</f>
        <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
      </c>
      <c r="Y35" s="8" t="str">
        <f aca="false">IF(ISERROR(MATCH(A35,'[1]liste reference'!$A$7:$A$906,0)),IF(ISERROR(MATCH(A35,'[1]liste reference'!$B$7:$B$906,0)),"",(MATCH(A35,'[1]liste reference'!$B$7:$B$906,0))),(MATCH(A35,'[1]liste reference'!$A$7:$A$906,0)))</f>
        <v/>
      </c>
      <c r="Z35" s="210"/>
      <c r="AA35" s="211"/>
      <c r="BB35" s="8" t="str">
        <f aca="false">IF(A35="","",1)</f>
        <v/>
      </c>
    </row>
    <row r="36" customFormat="false" ht="12.75"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6" t="n">
        <f aca="false">IF(D36="",0,VLOOKUP(D36,D$21:D22,1,0))</f>
        <v>0</v>
      </c>
      <c r="F36" s="224" t="n">
        <f aca="false">($B36*$B$7+$C36*$C$7)/100</f>
        <v>0</v>
      </c>
      <c r="G36" s="218"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9"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23"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09"/>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75"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6" t="n">
        <f aca="false">IF(D37="",0,VLOOKUP(D37,D$22:D22,1,0))</f>
        <v>0</v>
      </c>
      <c r="F37" s="224" t="n">
        <f aca="false">($B37*$B$7+$C37*$C$7)/100</f>
        <v>0</v>
      </c>
      <c r="G37" s="218"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9"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23"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6" t="n">
        <f aca="false">IF(D38="",0,VLOOKUP(D38,D$22:D23,1,0))</f>
        <v>0</v>
      </c>
      <c r="F38" s="224" t="n">
        <f aca="false">($B38*$B$7+$C38*$C$7)/100</f>
        <v>0</v>
      </c>
      <c r="G38" s="218"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9"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23"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6" t="n">
        <f aca="false">IF(D39="",0,VLOOKUP(D39,D$22:D24,1,0))</f>
        <v>0</v>
      </c>
      <c r="F39" s="224" t="n">
        <f aca="false">($B39*$B$7+$C39*$C$7)/100</f>
        <v>0</v>
      </c>
      <c r="G39" s="218"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9"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23"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6" t="n">
        <f aca="false">IF(D40="",0,VLOOKUP(D40,D$22:D24,1,0))</f>
        <v>0</v>
      </c>
      <c r="F40" s="224" t="n">
        <f aca="false">($B40*$B$7+$C40*$C$7)/100</f>
        <v>0</v>
      </c>
      <c r="G40" s="218"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9"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23"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6" t="n">
        <f aca="false">IF(D41="",0,VLOOKUP(D41,D$22:D25,1,0))</f>
        <v>0</v>
      </c>
      <c r="F41" s="224" t="n">
        <f aca="false">($B41*$B$7+$C41*$C$7)/100</f>
        <v>0</v>
      </c>
      <c r="G41" s="218"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9"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23"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25"/>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6" t="n">
        <f aca="false">IF(D42="",0,VLOOKUP(D42,D$22:D25,1,0))</f>
        <v>0</v>
      </c>
      <c r="F42" s="224" t="n">
        <f aca="false">($B42*$B$7+$C42*$C$7)/100</f>
        <v>0</v>
      </c>
      <c r="G42" s="218"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9"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23"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6" t="n">
        <f aca="false">IF(D43="",0,VLOOKUP(D43,D$22:D41,1,0))</f>
        <v>0</v>
      </c>
      <c r="F43" s="224" t="n">
        <f aca="false">($B43*$B$7+$C43*$C$7)/100</f>
        <v>0</v>
      </c>
      <c r="G43" s="218"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9"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23"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6" t="n">
        <f aca="false">IF(D44="",0,VLOOKUP(D44,D$22:D41,1,0))</f>
        <v>0</v>
      </c>
      <c r="F44" s="224" t="n">
        <f aca="false">($B44*$B$7+$C44*$C$7)/100</f>
        <v>0</v>
      </c>
      <c r="G44" s="218"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9"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23"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6" t="n">
        <f aca="false">IF(D45="",0,VLOOKUP(D45,D$22:D41,1,0))</f>
        <v>0</v>
      </c>
      <c r="F45" s="224" t="n">
        <f aca="false">($B45*$B$7+$C45*$C$7)/100</f>
        <v>0</v>
      </c>
      <c r="G45" s="218"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9"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23"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6" t="n">
        <f aca="false">IF(D46="",0,VLOOKUP(D46,D$22:D31,1,0))</f>
        <v>0</v>
      </c>
      <c r="F46" s="224" t="n">
        <f aca="false">($B46*$B$7+$C46*$C$7)/100</f>
        <v>0</v>
      </c>
      <c r="G46" s="218"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9"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23"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6" t="n">
        <f aca="false">IF(D47="",0,VLOOKUP(D47,D$22:D32,1,0))</f>
        <v>0</v>
      </c>
      <c r="F47" s="224" t="n">
        <f aca="false">($B47*$B$7+$C47*$C$7)/100</f>
        <v>0</v>
      </c>
      <c r="G47" s="218"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9"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23"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6" t="n">
        <f aca="false">IF(D48="",0,VLOOKUP(D48,D$22:D32,1,0))</f>
        <v>0</v>
      </c>
      <c r="F48" s="224" t="n">
        <f aca="false">($B48*$B$7+$C48*$C$7)/100</f>
        <v>0</v>
      </c>
      <c r="G48" s="218"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9"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23"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6" t="n">
        <f aca="false">IF(D49="",0,VLOOKUP(D49,D$22:D48,1,0))</f>
        <v>0</v>
      </c>
      <c r="F49" s="224" t="n">
        <f aca="false">($B49*$B$7+$C49*$C$7)/100</f>
        <v>0</v>
      </c>
      <c r="G49" s="218"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9"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23"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6" t="n">
        <f aca="false">IF(D50="",0,VLOOKUP(D50,D$21:D49,1,0))</f>
        <v>0</v>
      </c>
      <c r="F50" s="224" t="n">
        <f aca="false">($B50*$B$7+$C50*$C$7)/100</f>
        <v>0</v>
      </c>
      <c r="G50" s="218"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9"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23" t="str">
        <f aca="false">IF(A50="NEW.COD",AA50,IF(ISTEXT($E50),"DEJA SAISI !",IF(A50="","",IF(ISERROR(VLOOKUP($A50,'[1]liste reference'!$A$7:$D$906,2,0)),IF(ISERROR(VLOOKUP($A50,'[1]liste reference'!$B$7:$D$906,1,0)),"code non répertorié ou synonyme",VLOOKUP($A50,'[1]liste reference'!$B$7:$D$906,1,0)),VLOOKUP(A50,'[1]liste reference'!$A$7:$D$906,2,0)))))</f>
        <v/>
      </c>
      <c r="L50" s="226"/>
      <c r="M50" s="226"/>
      <c r="N50" s="226"/>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W50" s="227"/>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6" t="n">
        <f aca="false">IF(D51="",0,VLOOKUP(D51,D$20:D49,1,0))</f>
        <v>0</v>
      </c>
      <c r="F51" s="224" t="n">
        <f aca="false">($B51*$B$7+$C51*$C$7)/100</f>
        <v>0</v>
      </c>
      <c r="G51" s="218"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9"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23" t="str">
        <f aca="false">IF(A51="NEW.COD",AA51,IF(ISTEXT($E51),"DEJA SAISI !",IF(A51="","",IF(ISERROR(VLOOKUP($A51,'[1]liste reference'!$A$7:$D$906,2,0)),IF(ISERROR(VLOOKUP($A51,'[1]liste reference'!$B$7:$D$906,1,0)),"code non répertorié ou synonyme",VLOOKUP($A51,'[1]liste reference'!$B$7:$D$906,1,0)),VLOOKUP(A51,'[1]liste reference'!$A$7:$D$906,2,0)))))</f>
        <v/>
      </c>
      <c r="L51" s="226"/>
      <c r="M51" s="226"/>
      <c r="N51" s="226"/>
      <c r="O51" s="228"/>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29"/>
      <c r="W51" s="230"/>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6" t="n">
        <f aca="false">IF(D52="",0,VLOOKUP(D52,D$21:D51,1,0))</f>
        <v>0</v>
      </c>
      <c r="F52" s="224" t="n">
        <f aca="false">($B52*$B$7+$C52*$C$7)/100</f>
        <v>0</v>
      </c>
      <c r="G52" s="218"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9"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23"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W52" s="231"/>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6" t="n">
        <f aca="false">IF(D53="",0,VLOOKUP(D53,D$22:D52,1,0))</f>
        <v>0</v>
      </c>
      <c r="F53" s="224" t="n">
        <f aca="false">($B53*$B$7+$C53*$C$7)/100</f>
        <v>0</v>
      </c>
      <c r="G53" s="218"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9"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23"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32"/>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6" t="n">
        <f aca="false">IF(D54="",0,VLOOKUP(D54,D$22:D53,1,0))</f>
        <v>0</v>
      </c>
      <c r="F54" s="224" t="n">
        <f aca="false">($B54*$B$7+$C54*$C$7)/100</f>
        <v>0</v>
      </c>
      <c r="G54" s="218"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9"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23"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6" t="n">
        <f aca="false">IF(D55="",0,VLOOKUP(D55,D$22:D54,1,0))</f>
        <v>0</v>
      </c>
      <c r="F55" s="224" t="n">
        <f aca="false">($B55*$B$7+$C55*$C$7)/100</f>
        <v>0</v>
      </c>
      <c r="G55" s="218"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9"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23"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6" t="n">
        <f aca="false">IF(D56="",0,VLOOKUP(D56,D$22:D55,1,0))</f>
        <v>0</v>
      </c>
      <c r="F56" s="224" t="n">
        <f aca="false">($B56*$B$7+$C56*$C$7)/100</f>
        <v>0</v>
      </c>
      <c r="G56" s="218"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9"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23"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6" t="n">
        <f aca="false">IF(D57="",0,VLOOKUP(D57,D$22:D56,1,0))</f>
        <v>0</v>
      </c>
      <c r="F57" s="224" t="n">
        <f aca="false">($B57*$B$7+$C57*$C$7)/100</f>
        <v>0</v>
      </c>
      <c r="G57" s="218"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9"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23"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6" t="n">
        <f aca="false">IF(D58="",0,VLOOKUP(D58,D$22:D57,1,0))</f>
        <v>0</v>
      </c>
      <c r="F58" s="224" t="n">
        <f aca="false">($B58*$B$7+$C58*$C$7)/100</f>
        <v>0</v>
      </c>
      <c r="G58" s="218"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9"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23"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6" t="n">
        <f aca="false">IF(D59="",0,VLOOKUP(D59,D$22:D58,1,0))</f>
        <v>0</v>
      </c>
      <c r="F59" s="224" t="n">
        <f aca="false">($B59*$B$7+$C59*$C$7)/100</f>
        <v>0</v>
      </c>
      <c r="G59" s="218"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9"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23"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6" t="n">
        <f aca="false">IF(D60="",0,VLOOKUP(D60,D$22:D59,1,0))</f>
        <v>0</v>
      </c>
      <c r="F60" s="224" t="n">
        <f aca="false">($B60*$B$7+$C60*$C$7)/100</f>
        <v>0</v>
      </c>
      <c r="G60" s="218"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9"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23"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6" t="n">
        <f aca="false">IF(D61="",0,VLOOKUP(D61,D$22:D60,1,0))</f>
        <v>0</v>
      </c>
      <c r="F61" s="224" t="n">
        <f aca="false">($B61*$B$7+$C61*$C$7)/100</f>
        <v>0</v>
      </c>
      <c r="G61" s="218"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9"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23"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6" t="n">
        <f aca="false">IF(D62="",0,VLOOKUP(D62,D$22:D61,1,0))</f>
        <v>0</v>
      </c>
      <c r="F62" s="224" t="n">
        <f aca="false">($B62*$B$7+$C62*$C$7)/100</f>
        <v>0</v>
      </c>
      <c r="G62" s="218"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9"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23"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6" t="n">
        <f aca="false">IF(D63="",0,VLOOKUP(D63,D$22:D62,1,0))</f>
        <v>0</v>
      </c>
      <c r="F63" s="224" t="n">
        <f aca="false">($B63*$B$7+$C63*$C$7)/100</f>
        <v>0</v>
      </c>
      <c r="G63" s="218"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9"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23"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6" t="n">
        <f aca="false">IF(D64="",0,VLOOKUP(D64,D$22:D63,1,0))</f>
        <v>0</v>
      </c>
      <c r="F64" s="224" t="n">
        <f aca="false">($B64*$B$7+$C64*$C$7)/100</f>
        <v>0</v>
      </c>
      <c r="G64" s="218"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9"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23"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6" t="n">
        <f aca="false">IF(D65="",0,VLOOKUP(D65,D$22:D64,1,0))</f>
        <v>0</v>
      </c>
      <c r="F65" s="224" t="n">
        <f aca="false">($B65*$B$7+$C65*$C$7)/100</f>
        <v>0</v>
      </c>
      <c r="G65" s="218"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9"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23"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6" t="n">
        <f aca="false">IF(D66="",0,VLOOKUP(D66,D$22:D58,1,0))</f>
        <v>0</v>
      </c>
      <c r="F66" s="224" t="n">
        <f aca="false">($B66*$B$7+$C66*$C$7)/100</f>
        <v>0</v>
      </c>
      <c r="G66" s="218"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9"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23"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6" t="n">
        <f aca="false">IF(D67="",0,VLOOKUP(D67,D$22:D66,1,0))</f>
        <v>0</v>
      </c>
      <c r="F67" s="224" t="n">
        <f aca="false">($B67*$B$7+$C67*$C$7)/100</f>
        <v>0</v>
      </c>
      <c r="G67" s="218"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9"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23"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6" t="n">
        <f aca="false">IF(D68="",0,VLOOKUP(D68,D$22:D67,1,0))</f>
        <v>0</v>
      </c>
      <c r="F68" s="224" t="n">
        <f aca="false">($B68*$B$7+$C68*$C$7)/100</f>
        <v>0</v>
      </c>
      <c r="G68" s="218"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9"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23"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6" t="n">
        <f aca="false">IF(D69="",0,VLOOKUP(D69,D$22:D68,1,0))</f>
        <v>0</v>
      </c>
      <c r="F69" s="224" t="n">
        <f aca="false">($B69*$B$7+$C69*$C$7)/100</f>
        <v>0</v>
      </c>
      <c r="G69" s="218"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9"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23"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6" t="n">
        <f aca="false">IF(D70="",0,VLOOKUP(D70,D$22:D69,1,0))</f>
        <v>0</v>
      </c>
      <c r="F70" s="224" t="n">
        <f aca="false">($B70*$B$7+$C70*$C$7)/100</f>
        <v>0</v>
      </c>
      <c r="G70" s="218"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9"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23"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6" t="n">
        <f aca="false">IF(D71="",0,VLOOKUP(D71,D$22:D70,1,0))</f>
        <v>0</v>
      </c>
      <c r="F71" s="224" t="n">
        <f aca="false">($B71*$B$7+$C71*$C$7)/100</f>
        <v>0</v>
      </c>
      <c r="G71" s="218"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9"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23"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6" t="n">
        <f aca="false">IF(D72="",0,VLOOKUP(D72,D$22:D71,1,0))</f>
        <v>0</v>
      </c>
      <c r="F72" s="224" t="n">
        <f aca="false">($B72*$B$7+$C72*$C$7)/100</f>
        <v>0</v>
      </c>
      <c r="G72" s="218"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9"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23" t="str">
        <f aca="false">IF(A72="NEW.COD",AA72,IF(ISTEXT($E72),"DEJA SAISI !",IF(A72="","",IF(ISERROR(VLOOKUP($A72,'[1]liste reference'!$A$7:$D$906,2,0)),IF(ISERROR(VLOOKUP($A72,'[1]liste reference'!$B$7:$D$906,1,0)),"code non répertorié ou synonyme",VLOOKUP($A72,'[1]liste reference'!$B$7:$D$906,1,0)),VLOOKUP(A72,'[1]liste reference'!$A$7:$D$906,2,0)))))</f>
        <v/>
      </c>
      <c r="L72" s="226"/>
      <c r="M72" s="226"/>
      <c r="N72" s="226"/>
      <c r="O72" s="228"/>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6" t="n">
        <f aca="false">IF(D73="",0,VLOOKUP(D73,D$22:D72,1,0))</f>
        <v>0</v>
      </c>
      <c r="F73" s="224" t="n">
        <f aca="false">($B73*$B$7+$C73*$C$7)/100</f>
        <v>0</v>
      </c>
      <c r="G73" s="218"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9"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23"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6" t="n">
        <f aca="false">IF(D74="",0,VLOOKUP(D74,D$22:D73,1,0))</f>
        <v>0</v>
      </c>
      <c r="F74" s="224" t="n">
        <f aca="false">($B74*$B$7+$C74*$C$7)/100</f>
        <v>0</v>
      </c>
      <c r="G74" s="218"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9"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23" t="str">
        <f aca="false">IF(A74="NEW.COD",AA74,IF(ISTEXT($E74),"DEJA SAISI !",IF(A74="","",IF(ISERROR(VLOOKUP($A74,'[1]liste reference'!$A$7:$D$906,2,0)),IF(ISERROR(VLOOKUP($A74,'[1]liste reference'!$B$7:$D$906,1,0)),"code non répertorié ou synonyme",VLOOKUP($A74,'[1]liste reference'!$B$7:$D$906,1,0)),VLOOKUP(A74,'[1]liste reference'!$A$7:$D$906,2,0)))))</f>
        <v/>
      </c>
      <c r="L74" s="226"/>
      <c r="M74" s="226"/>
      <c r="N74" s="226"/>
      <c r="O74" s="228"/>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6" t="n">
        <f aca="false">IF(D75="",0,VLOOKUP(D75,D$22:D74,1,0))</f>
        <v>0</v>
      </c>
      <c r="F75" s="224" t="n">
        <f aca="false">($B75*$B$7+$C75*$C$7)/100</f>
        <v>0</v>
      </c>
      <c r="G75" s="218"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9"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23"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6" t="n">
        <f aca="false">IF(D76="",0,VLOOKUP(D76,D$22:D75,1,0))</f>
        <v>0</v>
      </c>
      <c r="F76" s="224" t="n">
        <f aca="false">($B76*$B$7+$C76*$C$7)/100</f>
        <v>0</v>
      </c>
      <c r="G76" s="218"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9"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23"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6" t="n">
        <f aca="false">IF(D77="",0,VLOOKUP(D77,D$22:D76,1,0))</f>
        <v>0</v>
      </c>
      <c r="F77" s="224" t="n">
        <f aca="false">($B77*$B$7+$C77*$C$7)/100</f>
        <v>0</v>
      </c>
      <c r="G77" s="218"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9"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23"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6" t="n">
        <f aca="false">IF(D78="",0,VLOOKUP(D78,D$22:D77,1,0))</f>
        <v>0</v>
      </c>
      <c r="F78" s="224" t="n">
        <f aca="false">($B78*$B$7+$C78*$C$7)/100</f>
        <v>0</v>
      </c>
      <c r="G78" s="218"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9"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23"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6" t="n">
        <f aca="false">IF(D79="",0,VLOOKUP(D79,D$22:D78,1,0))</f>
        <v>0</v>
      </c>
      <c r="F79" s="224" t="n">
        <f aca="false">($B79*$B$7+$C79*$C$7)/100</f>
        <v>0</v>
      </c>
      <c r="G79" s="218"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9"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23"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6" t="n">
        <f aca="false">IF(D80="",0,VLOOKUP(D80,D$22:D79,1,0))</f>
        <v>0</v>
      </c>
      <c r="F80" s="224" t="n">
        <f aca="false">($B80*$B$7+$C80*$C$7)/100</f>
        <v>0</v>
      </c>
      <c r="G80" s="218"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9"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23"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6" t="n">
        <f aca="false">IF(D81="",0,VLOOKUP(D81,D$22:D80,1,0))</f>
        <v>0</v>
      </c>
      <c r="F81" s="224" t="n">
        <f aca="false">($B81*$B$7+$C81*$C$7)/100</f>
        <v>0</v>
      </c>
      <c r="G81" s="218"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9"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23" t="str">
        <f aca="false">IF(A81="NEW.COD",AA81,IF(ISTEXT($E81),"DEJA SAISI !",IF(A81="","",IF(ISERROR(VLOOKUP($A81,'[1]liste reference'!$A$7:$D$906,2,0)),IF(ISERROR(VLOOKUP($A81,'[1]liste reference'!$B$7:$D$906,1,0)),"code non répertorié ou synonyme",VLOOKUP($A81,'[1]liste reference'!$B$7:$D$906,1,0)),VLOOKUP(A81,'[1]liste reference'!$A$7:$D$906,2,0)))))</f>
        <v/>
      </c>
      <c r="L81" s="220"/>
      <c r="M81" s="220"/>
      <c r="N81" s="220"/>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33"/>
      <c r="B82" s="234"/>
      <c r="C82" s="235"/>
      <c r="D82" s="236" t="str">
        <f aca="false">IF(ISERROR(VLOOKUP($A82,'[1]liste reference'!$A$7:$D$906,2,0)),IF(ISERROR(VLOOKUP($A82,'[1]liste reference'!$B$7:$D$906,1,0)),"",VLOOKUP($A82,'[1]liste reference'!$B$7:$D$906,1,0)),VLOOKUP($A82,'[1]liste reference'!$A$7:$D$906,2,0))</f>
        <v/>
      </c>
      <c r="E82" s="237" t="n">
        <f aca="false">IF(D82="",0,VLOOKUP(D82,D$22:D81,1,0))</f>
        <v>0</v>
      </c>
      <c r="F82" s="238" t="n">
        <f aca="false">($B82*$B$7+$C82*$C$7)/100</f>
        <v>0</v>
      </c>
      <c r="G82" s="239"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40" t="str">
        <f aca="false">IF(ISNUMBER(H82),IF(ISERROR(VLOOKUP($A82,'[1]liste reference'!$A$7:$P$906,3,0)),IF(ISERROR(VLOOKUP($A82,'[1]liste reference'!$B$7:$P$906,2,0)),"",VLOOKUP($A82,'[1]liste reference'!$B$7:$P$906,2,0)),VLOOKUP($A82,'[1]liste reference'!$A$7:$P$906,3,0)),"")</f>
        <v/>
      </c>
      <c r="J82" s="240" t="str">
        <f aca="false">IF(ISNUMBER(H82),IF(ISERROR(VLOOKUP($A82,'[1]liste reference'!$A$7:$P$906,4,0)),IF(ISERROR(VLOOKUP($A82,'[1]liste reference'!$B$7:$P$906,3,0)),"",VLOOKUP($A82,'[1]liste reference'!$B$7:$P$906,3,0)),VLOOKUP($A82,'[1]liste reference'!$A$7:$P$906,4,0)),"")</f>
        <v/>
      </c>
      <c r="K82" s="241" t="str">
        <f aca="false">IF(A82="NEW.COD",AA82,IF(ISTEXT($E82),"DEJA SAISI !",IF(A82="","",IF(ISERROR(VLOOKUP($A82,'[1]liste reference'!$A$7:$D$906,2,0)),IF(ISERROR(VLOOKUP($A82,'[1]liste reference'!$B$7:$D$906,1,0)),"code non répertorié ou synonyme",VLOOKUP($A82,'[1]liste reference'!$B$7:$D$906,1,0)),VLOOKUP(A82,'[1]liste reference'!$A$7:$D$906,2,0)))))</f>
        <v/>
      </c>
      <c r="L82" s="242"/>
      <c r="M82" s="242"/>
      <c r="N82" s="242"/>
      <c r="O82" s="243"/>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0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4" t="s">
        <v>84</v>
      </c>
      <c r="B83" s="152"/>
      <c r="C83" s="152"/>
      <c r="D83" s="152"/>
      <c r="E83" s="152"/>
      <c r="F83" s="152"/>
      <c r="G83" s="152"/>
      <c r="H83" s="152"/>
      <c r="I83" s="152"/>
      <c r="J83" s="152"/>
      <c r="K83" s="152"/>
      <c r="L83" s="152"/>
      <c r="M83" s="207"/>
      <c r="N83" s="207"/>
      <c r="O83" s="245"/>
      <c r="P83" s="245"/>
      <c r="Q83" s="245"/>
      <c r="R83" s="245"/>
      <c r="S83" s="8"/>
      <c r="T83" s="8"/>
      <c r="U83" s="245"/>
      <c r="V83" s="245"/>
      <c r="W83" s="245"/>
      <c r="X83" s="246"/>
      <c r="Y83" s="246"/>
      <c r="Z83" s="246"/>
      <c r="AA83" s="247"/>
      <c r="AB83" s="247"/>
      <c r="AC83" s="247"/>
    </row>
    <row r="84" customFormat="false" ht="12.75" hidden="true" customHeight="false" outlineLevel="0" collapsed="false">
      <c r="A84" s="248" t="str">
        <f aca="false">A3</f>
        <v>LOIRE</v>
      </c>
      <c r="B84" s="249" t="str">
        <f aca="false">C3</f>
        <v>Balbigny</v>
      </c>
      <c r="C84" s="250" t="n">
        <f aca="false">A4</f>
        <v>39666</v>
      </c>
      <c r="D84" s="251" t="n">
        <f aca="false">IF(ISERROR(SUM($S$23:$S$82)/SUM($T$23:$T$82)),"",SUM($S$23:$S$82)/SUM($T$23:$T$82))</f>
        <v>8.15384615384615</v>
      </c>
      <c r="E84" s="252" t="n">
        <f aca="false">N13</f>
        <v>9</v>
      </c>
      <c r="F84" s="249" t="n">
        <f aca="false">N14</f>
        <v>8</v>
      </c>
      <c r="G84" s="249" t="n">
        <f aca="false">N15</f>
        <v>4</v>
      </c>
      <c r="H84" s="249" t="n">
        <f aca="false">N16</f>
        <v>3</v>
      </c>
      <c r="I84" s="249" t="n">
        <f aca="false">N17</f>
        <v>1</v>
      </c>
      <c r="J84" s="253" t="n">
        <f aca="false">N8</f>
        <v>8.5</v>
      </c>
      <c r="K84" s="251" t="n">
        <f aca="false">N9</f>
        <v>2.1380899352994</v>
      </c>
      <c r="L84" s="252" t="n">
        <f aca="false">N10</f>
        <v>6</v>
      </c>
      <c r="M84" s="252" t="n">
        <f aca="false">N11</f>
        <v>12</v>
      </c>
      <c r="N84" s="251" t="n">
        <f aca="false">O8</f>
        <v>1.625</v>
      </c>
      <c r="O84" s="251" t="n">
        <f aca="false">O9</f>
        <v>0.744023809142845</v>
      </c>
      <c r="P84" s="252" t="n">
        <f aca="false">O10</f>
        <v>1</v>
      </c>
      <c r="Q84" s="252" t="n">
        <f aca="false">O11</f>
        <v>3</v>
      </c>
      <c r="R84" s="254" t="n">
        <f aca="false">F21</f>
        <v>0.15245</v>
      </c>
      <c r="S84" s="252" t="n">
        <f aca="false">K11</f>
        <v>0</v>
      </c>
      <c r="T84" s="252" t="n">
        <f aca="false">K12</f>
        <v>2</v>
      </c>
      <c r="U84" s="252" t="n">
        <f aca="false">K13</f>
        <v>1</v>
      </c>
      <c r="V84" s="255" t="n">
        <f aca="false">K14</f>
        <v>0</v>
      </c>
      <c r="W84" s="256" t="n">
        <f aca="false">K15</f>
        <v>5</v>
      </c>
      <c r="Y84" s="227"/>
      <c r="Z84" s="227"/>
      <c r="AA84" s="247"/>
      <c r="AB84" s="247"/>
      <c r="AC84" s="247"/>
    </row>
    <row r="85" customFormat="false" ht="12.75" hidden="true" customHeight="false" outlineLevel="0" collapsed="false">
      <c r="P85" s="8"/>
      <c r="Q85" s="8"/>
      <c r="R85" s="8"/>
      <c r="S85" s="8"/>
      <c r="T85" s="8"/>
      <c r="U85" s="8"/>
    </row>
    <row r="86" customFormat="false" ht="12.75" hidden="true" customHeight="false" outlineLevel="0" collapsed="false">
      <c r="P86" s="257" t="s">
        <v>85</v>
      </c>
      <c r="Q86" s="8"/>
      <c r="R86" s="208"/>
      <c r="S86" s="8"/>
      <c r="T86" s="8"/>
      <c r="U86" s="8"/>
    </row>
    <row r="87" customFormat="false" ht="12.75" hidden="true" customHeight="false" outlineLevel="0" collapsed="false">
      <c r="P87" s="8" t="s">
        <v>86</v>
      </c>
      <c r="Q87" s="8"/>
      <c r="R87" s="208" t="n">
        <f aca="false">VLOOKUP(MAX($R$23:$R$82),($R$23:$T$82),1,0)</f>
        <v>12</v>
      </c>
      <c r="S87" s="8"/>
      <c r="T87" s="8"/>
      <c r="U87" s="8"/>
    </row>
    <row r="88" customFormat="false" ht="12.75" hidden="true" customHeight="false" outlineLevel="0" collapsed="false">
      <c r="P88" s="8" t="s">
        <v>87</v>
      </c>
      <c r="Q88" s="8"/>
      <c r="R88" s="208" t="n">
        <f aca="false">VLOOKUP((R87),($R$23:$T$82),2,0)</f>
        <v>12</v>
      </c>
      <c r="S88" s="8"/>
      <c r="T88" s="8"/>
      <c r="U88" s="8"/>
    </row>
    <row r="89" customFormat="false" ht="12.75" hidden="true" customHeight="false" outlineLevel="0" collapsed="false">
      <c r="P89" s="8" t="s">
        <v>88</v>
      </c>
      <c r="Q89" s="8"/>
      <c r="R89" s="208" t="n">
        <f aca="false">VLOOKUP((R87),($R$23:$T$82),3,0)</f>
        <v>1</v>
      </c>
      <c r="S89" s="8"/>
    </row>
    <row r="90" customFormat="false" ht="12.75" hidden="true" customHeight="false" outlineLevel="0" collapsed="false">
      <c r="P90" s="8" t="s">
        <v>89</v>
      </c>
      <c r="Q90" s="8"/>
      <c r="R90" s="258" t="n">
        <f aca="false">IF(ISERROR(SUM($S$23:$S$82)/SUM($T$23:$T$82)),"",(SUM($S$23:$S$82)-R88)/(SUM($T$23:$T$82)-R89))</f>
        <v>7.83333333333333</v>
      </c>
      <c r="S90" s="8"/>
    </row>
    <row r="91" customFormat="false" ht="12.75" hidden="true" customHeight="false" outlineLevel="0" collapsed="false">
      <c r="P91" s="207" t="s">
        <v>90</v>
      </c>
      <c r="Q91" s="207"/>
      <c r="R91" s="207" t="e">
        <f aca="false">INDEX('[1]liste reference'!$A$7:$A$906,$S$91)</f>
        <v>#REF!</v>
      </c>
      <c r="S91" s="8" t="e">
        <f aca="false">IF(ISERROR(MATCH($R$93,'[1]liste reference'!$A$7:$A$906,0)),MATCH($R$93,'[1]liste reference'!$B$7:$B$906,0),(MATCH($R$93,'[1]liste reference'!$A$7:$A$906,0)))</f>
        <v>#REF!</v>
      </c>
      <c r="T91" s="247"/>
    </row>
    <row r="92" customFormat="false" ht="12.75" hidden="true" customHeight="false" outlineLevel="0" collapsed="false">
      <c r="P92" s="8" t="s">
        <v>91</v>
      </c>
      <c r="Q92" s="8"/>
      <c r="R92" s="8" t="n">
        <f aca="false">MATCH(R87,$R$23:$R$82,0)</f>
        <v>3</v>
      </c>
      <c r="S92" s="8"/>
    </row>
    <row r="93" customFormat="false" ht="12.75" hidden="true" customHeight="false" outlineLevel="0" collapsed="false">
      <c r="P93" s="207" t="s">
        <v>92</v>
      </c>
      <c r="Q93" s="8"/>
      <c r="R93" s="207" t="str">
        <f aca="false">INDEX($A$23:$A$82,$R$92)</f>
        <v>TET.SPX</v>
      </c>
      <c r="S93" s="8"/>
    </row>
    <row r="94" customFormat="false" ht="12.75" hidden="false" customHeight="false" outlineLevel="0" collapsed="false">
      <c r="R94" s="247"/>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A41 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AND($I23="",$J23="")</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42 AA41 A4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2024-03-12T20:21:51Z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