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2050" sheetId="1" state="visible" r:id="rId3"/>
  </sheets>
  <definedNames>
    <definedName function="false" hidden="false" localSheetId="0" name="_xlnm.Print_Area" vbProcedure="false">'04012050'!$A$1:$O$82</definedName>
    <definedName function="false" hidden="false" localSheetId="0" name="Cf." vbProcedure="false"/>
    <definedName function="false" hidden="false" localSheetId="0" name="NOM" vbProcedure="false">'04012050'!$H$1</definedName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8</xdr:rowOff>
              </xdr:from>
              <xdr:to>
                <xdr:col>8</xdr:col>
                <xdr:colOff>14</xdr:colOff>
                <xdr:row>3</xdr:row>
                <xdr:rowOff>8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1</xdr:row>
                <xdr:rowOff>6</xdr:rowOff>
              </xdr:from>
              <xdr:to>
                <xdr:col>5</xdr:col>
                <xdr:colOff>9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2</xdr:row>
                <xdr:rowOff>2</xdr:rowOff>
              </xdr:from>
              <xdr:to>
                <xdr:col>5</xdr:col>
                <xdr:colOff>9</xdr:colOff>
                <xdr:row>3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24</xdr:colOff>
                <xdr:row>9</xdr:row>
                <xdr:rowOff>11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27</xdr:colOff>
                <xdr:row>7</xdr:row>
                <xdr:rowOff>1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8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4</xdr:row>
                <xdr:rowOff>8</xdr:rowOff>
              </xdr:from>
              <xdr:to>
                <xdr:col>8</xdr:col>
                <xdr:colOff>15</xdr:colOff>
                <xdr:row>11</xdr:row>
                <xdr:rowOff>14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8</xdr:colOff>
                <xdr:row>8</xdr:row>
                <xdr:rowOff>4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1</xdr:row>
                <xdr:rowOff>6</xdr:rowOff>
              </xdr:from>
              <xdr:to>
                <xdr:col>13</xdr:col>
                <xdr:colOff>16</xdr:colOff>
                <xdr:row>6</xdr:row>
                <xdr:rowOff>1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1</xdr:row>
                <xdr:rowOff>4</xdr:rowOff>
              </xdr:from>
              <xdr:to>
                <xdr:col>14</xdr:col>
                <xdr:colOff>64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<sst xmlns="http://schemas.openxmlformats.org/spreadsheetml/2006/main" count="102" uniqueCount="99">
  <si>
    <t xml:space="preserve">Relevés floristiques aquatiques - IBMR</t>
  </si>
  <si>
    <t xml:space="preserve">Formulaire modèle GIS Macrophytes v_2.6 - février 2012</t>
  </si>
  <si>
    <t xml:space="preserve">AQUABIO</t>
  </si>
  <si>
    <t xml:space="preserve">Jérôme SIMON, Yann TRACOL</t>
  </si>
  <si>
    <t xml:space="preserve">conforme AFNOR T90-395 oct. 2003</t>
  </si>
  <si>
    <t xml:space="preserve">goutte du Moulin ou rau du bost</t>
  </si>
  <si>
    <t xml:space="preserve">RAU DU BOST à BUSSY-ALBIEUX</t>
  </si>
  <si>
    <t xml:space="preserve">04012050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</si>
  <si>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</si>
  <si>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</si>
  <si>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</si>
  <si>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</si>
  <si>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</si>
  <si>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</si>
  <si>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</si>
  <si>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</si>
  <si>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</si>
  <si>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</si>
  <si>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</si>
  <si>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</si>
  <si>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faible</t>
  </si>
  <si>
    <t xml:space="preserve">(moyen)</t>
  </si>
  <si>
    <t xml:space="preserve">% faciès dominant/UR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</si>
  <si>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</si>
  <si>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</si>
  <si>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</si>
  <si>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</si>
  <si>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</si>
  <si>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</si>
  <si>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</si>
  <si>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</si>
  <si>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</si>
  <si>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</si>
  <si>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</si>
  <si>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</si>
  <si>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</si>
  <si>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</si>
  <si>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</si>
  <si>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</si>
  <si>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</si>
  <si>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</si>
  <si>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</si>
  <si>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</si>
  <si>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</si>
  <si>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</si>
  <si>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</si>
  <si>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</si>
  <si>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</si>
  <si>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</si>
  <si>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</si>
  <si>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</si>
  <si>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</si>
  <si>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</si>
  <si>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</si>
  <si>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</si>
  <si>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</si>
  <si>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</si>
  <si>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</si>
  <si>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(2,32319998340681 %)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</si>
  <si>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</si>
  <si>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</si>
  <si>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</si>
  <si>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</si>
  <si>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</si>
  <si>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</si>
  <si>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</si>
  <si>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</si>
  <si>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</si>
  <si>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</si>
  <si>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</si>
  <si>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</si>
  <si>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</si>
  <si>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</si>
  <si>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</si>
  <si>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</si>
  <si>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</si>
  <si>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</si>
  <si>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</si>
  <si>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RANREP</t>
  </si>
  <si>
    <t xml:space="preserve">DERSPX</t>
  </si>
  <si>
    <t xml:space="preserve">PLIUND</t>
  </si>
  <si>
    <t xml:space="preserve">POLHYD</t>
  </si>
  <si>
    <t xml:space="preserve">GLEHED</t>
  </si>
  <si>
    <t xml:space="preserve">FISCRA</t>
  </si>
  <si>
    <t xml:space="preserve">EURSPX</t>
  </si>
  <si>
    <t xml:space="preserve">HILSPX</t>
  </si>
  <si>
    <t xml:space="preserve">newcod</t>
  </si>
  <si>
    <t xml:space="preserve">Gongrosira sp</t>
  </si>
  <si>
    <t xml:space="preserve">RHYRIP</t>
  </si>
  <si>
    <t xml:space="preserve">FONANT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</si>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</sst>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2DCDB"/>
        <bgColor rgb="FFFFFFCC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1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1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11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3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2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6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2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6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2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6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9" borderId="5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2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6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3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9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9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6" fillId="7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5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9" fillId="7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2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6" fillId="7" borderId="6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9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7" borderId="6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9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7" borderId="6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7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BFBFBF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C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8.58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6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8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10.99"/>
    <col collapsed="false" customWidth="true" hidden="true" outlineLevel="0" max="16" min="16" style="1" width="13.86"/>
    <col collapsed="false" customWidth="true" hidden="true" outlineLevel="0" max="18" min="17" style="1" width="8.71"/>
    <col collapsed="false" customWidth="true" hidden="true" outlineLevel="0" max="19" min="19" style="1" width="7"/>
    <col collapsed="false" customWidth="true" hidden="true" outlineLevel="0" max="20" min="20" style="1" width="4.86"/>
    <col collapsed="false" customWidth="true" hidden="true" outlineLevel="0" max="21" min="21" style="1" width="17.42"/>
    <col collapsed="false" customWidth="true" hidden="true" outlineLevel="0" max="22" min="22" style="1" width="40.71"/>
    <col collapsed="false" customWidth="true" hidden="false" outlineLevel="0" max="23" min="23" style="1" width="25.42"/>
    <col collapsed="false" customWidth="true" hidden="false" outlineLevel="0" max="24" min="24" style="1" width="26.15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true" hidden="false" outlineLevel="0" max="27" min="27" style="1" width="6.28"/>
    <col collapsed="false" customWidth="true" hidden="false" outlineLevel="0" max="28" min="28" style="1" width="34.14"/>
    <col collapsed="false" customWidth="true" hidden="false" outlineLevel="0" max="29" min="29" style="1" width="25.29"/>
    <col collapsed="false" customWidth="false" hidden="false" outlineLevel="0" max="256" min="30" style="1" width="11.43"/>
    <col collapsed="false" customWidth="true" hidden="false" outlineLevel="0" max="257" min="257" style="1" width="18.58"/>
    <col collapsed="false" customWidth="true" hidden="false" outlineLevel="0" max="258" min="258" style="1" width="9.71"/>
    <col collapsed="false" customWidth="true" hidden="false" outlineLevel="0" max="259" min="259" style="1" width="9.42"/>
    <col collapsed="false" customWidth="true" hidden="true" outlineLevel="0" max="261" min="260" style="1" width="11.52"/>
    <col collapsed="false" customWidth="true" hidden="false" outlineLevel="0" max="262" min="262" style="1" width="7.16"/>
    <col collapsed="false" customWidth="true" hidden="false" outlineLevel="0" max="263" min="263" style="1" width="5.57"/>
    <col collapsed="false" customWidth="true" hidden="true" outlineLevel="0" max="264" min="264" style="1" width="11.52"/>
    <col collapsed="false" customWidth="true" hidden="false" outlineLevel="0" max="265" min="265" style="1" width="3.15"/>
    <col collapsed="false" customWidth="true" hidden="false" outlineLevel="0" max="266" min="266" style="1" width="2.42"/>
    <col collapsed="false" customWidth="true" hidden="false" outlineLevel="0" max="267" min="267" style="1" width="9"/>
    <col collapsed="false" customWidth="true" hidden="false" outlineLevel="0" max="268" min="268" style="1" width="6.28"/>
    <col collapsed="false" customWidth="true" hidden="false" outlineLevel="0" max="269" min="269" style="1" width="8.71"/>
    <col collapsed="false" customWidth="true" hidden="false" outlineLevel="0" max="270" min="270" style="1" width="8.86"/>
    <col collapsed="false" customWidth="true" hidden="false" outlineLevel="0" max="271" min="271" style="1" width="10.99"/>
    <col collapsed="false" customWidth="true" hidden="true" outlineLevel="0" max="278" min="272" style="1" width="11.52"/>
    <col collapsed="false" customWidth="true" hidden="false" outlineLevel="0" max="279" min="279" style="1" width="25.42"/>
    <col collapsed="false" customWidth="true" hidden="false" outlineLevel="0" max="280" min="280" style="1" width="26.15"/>
    <col collapsed="false" customWidth="true" hidden="true" outlineLevel="0" max="282" min="281" style="1" width="11.52"/>
    <col collapsed="false" customWidth="true" hidden="false" outlineLevel="0" max="283" min="283" style="1" width="6.28"/>
    <col collapsed="false" customWidth="true" hidden="false" outlineLevel="0" max="284" min="284" style="1" width="34.14"/>
    <col collapsed="false" customWidth="true" hidden="false" outlineLevel="0" max="285" min="285" style="1" width="25.29"/>
    <col collapsed="false" customWidth="false" hidden="false" outlineLevel="0" max="512" min="286" style="1" width="11.43"/>
    <col collapsed="false" customWidth="true" hidden="false" outlineLevel="0" max="513" min="513" style="1" width="18.58"/>
    <col collapsed="false" customWidth="true" hidden="false" outlineLevel="0" max="514" min="514" style="1" width="9.71"/>
    <col collapsed="false" customWidth="true" hidden="false" outlineLevel="0" max="515" min="515" style="1" width="9.42"/>
    <col collapsed="false" customWidth="true" hidden="true" outlineLevel="0" max="517" min="516" style="1" width="11.52"/>
    <col collapsed="false" customWidth="true" hidden="false" outlineLevel="0" max="518" min="518" style="1" width="7.16"/>
    <col collapsed="false" customWidth="true" hidden="false" outlineLevel="0" max="519" min="519" style="1" width="5.57"/>
    <col collapsed="false" customWidth="true" hidden="true" outlineLevel="0" max="520" min="520" style="1" width="11.52"/>
    <col collapsed="false" customWidth="true" hidden="false" outlineLevel="0" max="521" min="521" style="1" width="3.15"/>
    <col collapsed="false" customWidth="true" hidden="false" outlineLevel="0" max="522" min="522" style="1" width="2.42"/>
    <col collapsed="false" customWidth="true" hidden="false" outlineLevel="0" max="523" min="523" style="1" width="9"/>
    <col collapsed="false" customWidth="true" hidden="false" outlineLevel="0" max="524" min="524" style="1" width="6.28"/>
    <col collapsed="false" customWidth="true" hidden="false" outlineLevel="0" max="525" min="525" style="1" width="8.71"/>
    <col collapsed="false" customWidth="true" hidden="false" outlineLevel="0" max="526" min="526" style="1" width="8.86"/>
    <col collapsed="false" customWidth="true" hidden="false" outlineLevel="0" max="527" min="527" style="1" width="10.99"/>
    <col collapsed="false" customWidth="true" hidden="true" outlineLevel="0" max="534" min="528" style="1" width="11.52"/>
    <col collapsed="false" customWidth="true" hidden="false" outlineLevel="0" max="535" min="535" style="1" width="25.42"/>
    <col collapsed="false" customWidth="true" hidden="false" outlineLevel="0" max="536" min="536" style="1" width="26.15"/>
    <col collapsed="false" customWidth="true" hidden="true" outlineLevel="0" max="538" min="537" style="1" width="11.52"/>
    <col collapsed="false" customWidth="true" hidden="false" outlineLevel="0" max="539" min="539" style="1" width="6.28"/>
    <col collapsed="false" customWidth="true" hidden="false" outlineLevel="0" max="540" min="540" style="1" width="34.14"/>
    <col collapsed="false" customWidth="true" hidden="false" outlineLevel="0" max="541" min="541" style="1" width="25.29"/>
    <col collapsed="false" customWidth="false" hidden="false" outlineLevel="0" max="768" min="542" style="1" width="11.43"/>
    <col collapsed="false" customWidth="true" hidden="false" outlineLevel="0" max="769" min="769" style="1" width="18.58"/>
    <col collapsed="false" customWidth="true" hidden="false" outlineLevel="0" max="770" min="770" style="1" width="9.71"/>
    <col collapsed="false" customWidth="true" hidden="false" outlineLevel="0" max="771" min="771" style="1" width="9.42"/>
    <col collapsed="false" customWidth="true" hidden="true" outlineLevel="0" max="773" min="772" style="1" width="11.52"/>
    <col collapsed="false" customWidth="true" hidden="false" outlineLevel="0" max="774" min="774" style="1" width="7.16"/>
    <col collapsed="false" customWidth="true" hidden="false" outlineLevel="0" max="775" min="775" style="1" width="5.57"/>
    <col collapsed="false" customWidth="true" hidden="true" outlineLevel="0" max="776" min="776" style="1" width="11.52"/>
    <col collapsed="false" customWidth="true" hidden="false" outlineLevel="0" max="777" min="777" style="1" width="3.15"/>
    <col collapsed="false" customWidth="true" hidden="false" outlineLevel="0" max="778" min="778" style="1" width="2.42"/>
    <col collapsed="false" customWidth="true" hidden="false" outlineLevel="0" max="779" min="779" style="1" width="9"/>
    <col collapsed="false" customWidth="true" hidden="false" outlineLevel="0" max="780" min="780" style="1" width="6.28"/>
    <col collapsed="false" customWidth="true" hidden="false" outlineLevel="0" max="781" min="781" style="1" width="8.71"/>
    <col collapsed="false" customWidth="true" hidden="false" outlineLevel="0" max="782" min="782" style="1" width="8.86"/>
    <col collapsed="false" customWidth="true" hidden="false" outlineLevel="0" max="783" min="783" style="1" width="10.99"/>
    <col collapsed="false" customWidth="true" hidden="true" outlineLevel="0" max="790" min="784" style="1" width="11.52"/>
    <col collapsed="false" customWidth="true" hidden="false" outlineLevel="0" max="791" min="791" style="1" width="25.42"/>
    <col collapsed="false" customWidth="true" hidden="false" outlineLevel="0" max="792" min="792" style="1" width="26.15"/>
    <col collapsed="false" customWidth="true" hidden="true" outlineLevel="0" max="794" min="793" style="1" width="11.52"/>
    <col collapsed="false" customWidth="true" hidden="false" outlineLevel="0" max="795" min="795" style="1" width="6.28"/>
    <col collapsed="false" customWidth="true" hidden="false" outlineLevel="0" max="796" min="796" style="1" width="34.14"/>
    <col collapsed="false" customWidth="true" hidden="false" outlineLevel="0" max="797" min="797" style="1" width="25.29"/>
    <col collapsed="false" customWidth="false" hidden="false" outlineLevel="0" max="1024" min="798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41103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12.4285714285714</v>
      </c>
      <c r="M5" s="52"/>
      <c r="N5" s="53"/>
      <c r="O5" s="54" t="n">
        <v>10.5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16</v>
      </c>
      <c r="B6" s="56" t="s">
        <v>17</v>
      </c>
      <c r="C6" s="56" t="s">
        <v>18</v>
      </c>
      <c r="D6" s="45"/>
      <c r="E6" s="45"/>
      <c r="F6" s="46"/>
      <c r="G6" s="47"/>
      <c r="H6" s="45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22</v>
      </c>
      <c r="B7" s="65" t="n">
        <v>45</v>
      </c>
      <c r="C7" s="66" t="n">
        <v>55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23</v>
      </c>
      <c r="O7" s="75" t="s">
        <v>24</v>
      </c>
      <c r="P7" s="76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7" t="s">
        <v>25</v>
      </c>
      <c r="B8" s="77"/>
      <c r="C8" s="77"/>
      <c r="D8" s="67"/>
      <c r="E8" s="67"/>
      <c r="F8" s="78" t="s">
        <v>26</v>
      </c>
      <c r="G8" s="79"/>
      <c r="H8" s="80"/>
      <c r="I8" s="70"/>
      <c r="J8" s="71"/>
      <c r="K8" s="72"/>
      <c r="L8" s="73"/>
      <c r="M8" s="81" t="s">
        <v>27</v>
      </c>
      <c r="N8" s="82" t="e">
        <f aca="false">AVERAGE(I23:I82)</f>
        <v>#DIV/0!</v>
      </c>
      <c r="O8" s="82" t="e">
        <f aca="false">AVERAGE(J23:J82)</f>
        <v>#DIV/0!</v>
      </c>
      <c r="P8" s="83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28</v>
      </c>
      <c r="B9" s="84" t="n">
        <v>0.300000011920929</v>
      </c>
      <c r="C9" s="85" t="n">
        <v>2</v>
      </c>
      <c r="D9" s="86"/>
      <c r="E9" s="86"/>
      <c r="F9" s="87" t="n">
        <f aca="false">($B9*$B$7+$C9*$C$7)/100</f>
        <v>1.23500000536442</v>
      </c>
      <c r="G9" s="88"/>
      <c r="H9" s="89"/>
      <c r="I9" s="90"/>
      <c r="J9" s="91"/>
      <c r="K9" s="72"/>
      <c r="L9" s="92"/>
      <c r="M9" s="81" t="s">
        <v>29</v>
      </c>
      <c r="N9" s="82" t="e">
        <f aca="false">STDEV(I23:I82)</f>
        <v>#DIV/0!</v>
      </c>
      <c r="O9" s="82" t="e">
        <f aca="false">STDEV(J23:J82)</f>
        <v>#DIV/0!</v>
      </c>
      <c r="P9" s="83"/>
      <c r="Q9" s="9"/>
      <c r="R9" s="9"/>
      <c r="S9" s="9"/>
      <c r="T9" s="9"/>
      <c r="U9" s="9"/>
      <c r="V9" s="9"/>
      <c r="W9" s="93"/>
      <c r="X9" s="94"/>
    </row>
    <row r="10" customFormat="false" ht="12.75" hidden="false" customHeight="false" outlineLevel="0" collapsed="false">
      <c r="A10" s="95" t="s">
        <v>30</v>
      </c>
      <c r="B10" s="96"/>
      <c r="C10" s="97"/>
      <c r="D10" s="98"/>
      <c r="E10" s="98"/>
      <c r="F10" s="87" t="n">
        <f aca="false">($B10*$B$7+$C10*$C$7)/100</f>
        <v>0</v>
      </c>
      <c r="G10" s="88"/>
      <c r="H10" s="99"/>
      <c r="I10" s="100"/>
      <c r="J10" s="101" t="s">
        <v>31</v>
      </c>
      <c r="K10" s="101"/>
      <c r="L10" s="102"/>
      <c r="M10" s="103" t="s">
        <v>32</v>
      </c>
      <c r="N10" s="104" t="n">
        <f aca="false">MIN(I23:I82)</f>
        <v>0</v>
      </c>
      <c r="O10" s="104" t="n">
        <f aca="false">MIN(J23:J82)</f>
        <v>0</v>
      </c>
      <c r="P10" s="105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6" t="s">
        <v>33</v>
      </c>
      <c r="B11" s="107"/>
      <c r="C11" s="108"/>
      <c r="D11" s="109"/>
      <c r="E11" s="109"/>
      <c r="F11" s="110" t="n">
        <f aca="false">($B11*$B$7+$C11*$C$7)/100</f>
        <v>0</v>
      </c>
      <c r="G11" s="111"/>
      <c r="H11" s="67"/>
      <c r="I11" s="112" t="s">
        <v>34</v>
      </c>
      <c r="J11" s="112"/>
      <c r="K11" s="113" t="n">
        <f aca="false">COUNTIF($G$23:$G$82,"=HET")</f>
        <v>0</v>
      </c>
      <c r="L11" s="114"/>
      <c r="M11" s="103" t="s">
        <v>35</v>
      </c>
      <c r="N11" s="104" t="n">
        <f aca="false">MAX(I23:I82)</f>
        <v>0</v>
      </c>
      <c r="O11" s="104" t="n">
        <f aca="false">MAX(J23:J82)</f>
        <v>0</v>
      </c>
      <c r="P11" s="105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5" t="s">
        <v>36</v>
      </c>
      <c r="B12" s="116"/>
      <c r="C12" s="117"/>
      <c r="D12" s="109"/>
      <c r="E12" s="109"/>
      <c r="F12" s="110" t="n">
        <f aca="false">($B12*$B$7+$C12*$C$7)/100</f>
        <v>0</v>
      </c>
      <c r="G12" s="118"/>
      <c r="H12" s="67"/>
      <c r="I12" s="119" t="s">
        <v>37</v>
      </c>
      <c r="J12" s="119"/>
      <c r="K12" s="113" t="n">
        <f aca="false">COUNTIF($G$23:$G$82,"=ALG")</f>
        <v>0</v>
      </c>
      <c r="L12" s="120"/>
      <c r="M12" s="121"/>
      <c r="N12" s="122" t="s">
        <v>31</v>
      </c>
      <c r="O12" s="123"/>
      <c r="P12" s="124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5" t="s">
        <v>38</v>
      </c>
      <c r="B13" s="116"/>
      <c r="C13" s="117"/>
      <c r="D13" s="109"/>
      <c r="E13" s="109"/>
      <c r="F13" s="110" t="n">
        <f aca="false">($B13*$B$7+$C13*$C$7)/100</f>
        <v>0</v>
      </c>
      <c r="G13" s="118"/>
      <c r="H13" s="67"/>
      <c r="I13" s="119" t="s">
        <v>39</v>
      </c>
      <c r="J13" s="119"/>
      <c r="K13" s="113" t="n">
        <f aca="false">COUNTIF($G$23:$G$82,"=BRm")+COUNTIF($G$23:$G$82,"=BRh")</f>
        <v>0</v>
      </c>
      <c r="L13" s="114"/>
      <c r="M13" s="125" t="s">
        <v>40</v>
      </c>
      <c r="N13" s="126" t="n">
        <f aca="false">COUNTIF(F23:F82,"&gt;0")</f>
        <v>11</v>
      </c>
      <c r="O13" s="127"/>
      <c r="P13" s="128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5" t="s">
        <v>41</v>
      </c>
      <c r="B14" s="116"/>
      <c r="C14" s="117"/>
      <c r="D14" s="109"/>
      <c r="E14" s="109"/>
      <c r="F14" s="110" t="n">
        <f aca="false">($B14*$B$7+$C14*$C$7)/100</f>
        <v>0</v>
      </c>
      <c r="G14" s="118"/>
      <c r="H14" s="67"/>
      <c r="I14" s="119" t="s">
        <v>42</v>
      </c>
      <c r="J14" s="119"/>
      <c r="K14" s="113" t="n">
        <f aca="false">COUNTIF($G$23:$G$82,"=PTE")</f>
        <v>0</v>
      </c>
      <c r="L14" s="114"/>
      <c r="M14" s="129" t="s">
        <v>43</v>
      </c>
      <c r="N14" s="130" t="n">
        <f aca="false">COUNTIF($I$23:$I$82,"&gt;-1")</f>
        <v>0</v>
      </c>
      <c r="O14" s="131"/>
      <c r="P14" s="128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2" t="s">
        <v>44</v>
      </c>
      <c r="B15" s="133"/>
      <c r="C15" s="134"/>
      <c r="D15" s="109"/>
      <c r="E15" s="109"/>
      <c r="F15" s="110" t="n">
        <f aca="false">($B15*$B$7+$C15*$C$7)/100</f>
        <v>0</v>
      </c>
      <c r="G15" s="118"/>
      <c r="H15" s="67"/>
      <c r="I15" s="119" t="s">
        <v>45</v>
      </c>
      <c r="J15" s="119"/>
      <c r="K15" s="113" t="n">
        <f aca="false">(COUNTIF($G$23:$G$82,"=PHy"))+(COUNTIF($G$23:$G$82,"=PHe"))+(COUNTIF($G$23:$G$82,"=PHg"))+(COUNTIF($G$23:$G$82,"=PHx"))</f>
        <v>0</v>
      </c>
      <c r="L15" s="114"/>
      <c r="M15" s="135" t="s">
        <v>46</v>
      </c>
      <c r="N15" s="136" t="n">
        <f aca="false">COUNTIF(J23:J82,"=1")</f>
        <v>0</v>
      </c>
      <c r="O15" s="137"/>
      <c r="P15" s="128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6" t="s">
        <v>47</v>
      </c>
      <c r="B16" s="107"/>
      <c r="C16" s="108"/>
      <c r="D16" s="138"/>
      <c r="E16" s="138"/>
      <c r="F16" s="139"/>
      <c r="G16" s="139" t="n">
        <f aca="false">($B16*$B$7+$C16*$C$7)/100</f>
        <v>0</v>
      </c>
      <c r="H16" s="67"/>
      <c r="I16" s="119"/>
      <c r="J16" s="140"/>
      <c r="K16" s="140"/>
      <c r="L16" s="114"/>
      <c r="M16" s="135" t="s">
        <v>48</v>
      </c>
      <c r="N16" s="136" t="n">
        <f aca="false">COUNTIF(J23:J82,"=2")</f>
        <v>0</v>
      </c>
      <c r="O16" s="137"/>
      <c r="P16" s="128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5" t="s">
        <v>49</v>
      </c>
      <c r="B17" s="116"/>
      <c r="C17" s="117"/>
      <c r="D17" s="109"/>
      <c r="E17" s="109"/>
      <c r="F17" s="141"/>
      <c r="G17" s="110" t="n">
        <f aca="false">($B17*$B$7+$C17*$C$7)/100</f>
        <v>0</v>
      </c>
      <c r="H17" s="67"/>
      <c r="I17" s="119"/>
      <c r="J17" s="119"/>
      <c r="K17" s="140"/>
      <c r="L17" s="114"/>
      <c r="M17" s="135" t="s">
        <v>50</v>
      </c>
      <c r="N17" s="136" t="n">
        <f aca="false">COUNTIF(J23:J82,"=3")</f>
        <v>0</v>
      </c>
      <c r="O17" s="137"/>
      <c r="P17" s="128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2" t="s">
        <v>51</v>
      </c>
      <c r="B18" s="143"/>
      <c r="C18" s="144"/>
      <c r="D18" s="109"/>
      <c r="E18" s="145" t="s">
        <v>52</v>
      </c>
      <c r="F18" s="141"/>
      <c r="G18" s="110" t="n">
        <f aca="false">($B18*$B$7+$C18*$C$7)/100</f>
        <v>0</v>
      </c>
      <c r="H18" s="67"/>
      <c r="I18" s="119"/>
      <c r="J18" s="119"/>
      <c r="K18" s="140"/>
      <c r="L18" s="114"/>
      <c r="M18" s="146"/>
      <c r="N18" s="146"/>
      <c r="O18" s="137"/>
      <c r="P18" s="147"/>
      <c r="Q18" s="9"/>
      <c r="R18" s="9"/>
      <c r="S18" s="9"/>
      <c r="T18" s="9"/>
      <c r="U18" s="9"/>
      <c r="V18" s="9"/>
      <c r="W18" s="148"/>
    </row>
    <row r="19" customFormat="false" ht="12.75" hidden="false" customHeight="false" outlineLevel="0" collapsed="false">
      <c r="A19" s="149" t="str">
        <f aca="false">IF(AND(OR(AND((B9=""),(B7="")),(B9=""),AND(ISNUMBER(B9),ISNUMBER(B7))),OR(AND((C9=""),(C7="")),(C9=""),AND(ISNUMBER(C9),ISNUMBER(C7)))),"","ATTENTION: renseigner % faciès / station")</f>
        <v/>
      </c>
      <c r="B19" s="150"/>
      <c r="C19" s="151"/>
      <c r="D19" s="152" t="str">
        <f aca="false">IF(G19=F19,"","ATTENTION : le total par grp. floristiques doit être égal")</f>
        <v/>
      </c>
      <c r="E19" s="153" t="str">
        <f aca="false">IF(G19=F19,"","au total par grp. Fonctionnels !")</f>
        <v/>
      </c>
      <c r="F19" s="154" t="n">
        <f aca="false">SUM(F11:F15)</f>
        <v>0</v>
      </c>
      <c r="G19" s="154" t="n">
        <f aca="false">SUM(G16:G18)</f>
        <v>0</v>
      </c>
      <c r="H19" s="155"/>
      <c r="I19" s="156"/>
      <c r="J19" s="157"/>
      <c r="K19" s="158"/>
      <c r="L19" s="159"/>
      <c r="M19" s="160"/>
      <c r="N19" s="59"/>
      <c r="O19" s="161"/>
      <c r="P19" s="147"/>
      <c r="Q19" s="9"/>
      <c r="R19" s="9"/>
      <c r="S19" s="9"/>
      <c r="T19" s="9"/>
      <c r="U19" s="9"/>
      <c r="V19" s="9"/>
      <c r="W19" s="148"/>
    </row>
    <row r="20" customFormat="false" ht="12.75" hidden="false" customHeight="false" outlineLevel="0" collapsed="false">
      <c r="A20" s="162" t="s">
        <v>53</v>
      </c>
      <c r="B20" s="163" t="n">
        <f aca="false">SUM(B23:B82)</f>
        <v>1.6040001064539</v>
      </c>
      <c r="C20" s="164" t="n">
        <f aca="false">SUM(C23:C82)</f>
        <v>2.91163624636829</v>
      </c>
      <c r="D20" s="165"/>
      <c r="E20" s="166" t="s">
        <v>52</v>
      </c>
      <c r="F20" s="167" t="n">
        <f aca="false">($B20*$B$7+$C20*$C$7)/100</f>
        <v>2.32319998340681</v>
      </c>
      <c r="G20" s="168"/>
      <c r="H20" s="169"/>
      <c r="I20" s="170"/>
      <c r="J20" s="170"/>
      <c r="K20" s="171"/>
      <c r="L20" s="46"/>
      <c r="M20" s="172"/>
      <c r="N20" s="172"/>
      <c r="O20" s="173"/>
      <c r="P20" s="174"/>
      <c r="Q20" s="175" t="s">
        <v>54</v>
      </c>
      <c r="R20" s="9"/>
      <c r="S20" s="9"/>
      <c r="T20" s="9"/>
      <c r="U20" s="9"/>
      <c r="V20" s="9" t="s">
        <v>55</v>
      </c>
      <c r="W20" s="148"/>
    </row>
    <row r="21" customFormat="false" ht="12.75" hidden="false" customHeight="false" outlineLevel="0" collapsed="false">
      <c r="A21" s="176" t="s">
        <v>56</v>
      </c>
      <c r="B21" s="177" t="n">
        <f aca="false">B20*B7/100</f>
        <v>0.721800047904253</v>
      </c>
      <c r="C21" s="177" t="n">
        <f aca="false">C20*C7/100</f>
        <v>1.60139993550256</v>
      </c>
      <c r="D21" s="109" t="str">
        <f aca="false">IF(F21=0,"",IF((ABS(F21-F19))&gt;(0.2*F21),CONCATENATE(" rec. par taxa (",F21," %) supérieur à 20 % !"),""))</f>
        <v> rec. par taxa (2,32319998340681 %) supérieur à 20 % !</v>
      </c>
      <c r="E21" s="178" t="str">
        <f aca="false">IF(F21=0,"",IF((ABS(F21-F19))&gt;(0.2*F21),CONCATENATE("ATTENTION : écart entre rec. par grp (",F19," %) ","et",""),""))</f>
        <v>ATTENTION : écart entre rec. par grp (0 %) et</v>
      </c>
      <c r="F21" s="179" t="n">
        <f aca="false">B21+C21</f>
        <v>2.32319998340681</v>
      </c>
      <c r="G21" s="180"/>
      <c r="H21" s="109"/>
      <c r="I21" s="181"/>
      <c r="J21" s="181"/>
      <c r="K21" s="182"/>
      <c r="L21" s="182"/>
      <c r="M21" s="183"/>
      <c r="N21" s="183"/>
      <c r="O21" s="184"/>
      <c r="P21" s="185"/>
      <c r="Q21" s="186" t="s">
        <v>57</v>
      </c>
      <c r="R21" s="9"/>
      <c r="S21" s="9"/>
      <c r="T21" s="9"/>
      <c r="U21" s="9"/>
      <c r="V21" s="9" t="s">
        <v>58</v>
      </c>
      <c r="W21" s="148"/>
    </row>
    <row r="22" customFormat="false" ht="12.75" hidden="false" customHeight="false" outlineLevel="0" collapsed="false">
      <c r="A22" s="187" t="s">
        <v>59</v>
      </c>
      <c r="B22" s="188" t="s">
        <v>60</v>
      </c>
      <c r="C22" s="189" t="s">
        <v>60</v>
      </c>
      <c r="D22" s="138"/>
      <c r="E22" s="138"/>
      <c r="F22" s="190" t="s">
        <v>61</v>
      </c>
      <c r="G22" s="191" t="s">
        <v>62</v>
      </c>
      <c r="H22" s="138"/>
      <c r="I22" s="192" t="s">
        <v>63</v>
      </c>
      <c r="J22" s="192" t="s">
        <v>64</v>
      </c>
      <c r="K22" s="193" t="s">
        <v>65</v>
      </c>
      <c r="L22" s="193"/>
      <c r="M22" s="193"/>
      <c r="N22" s="193"/>
      <c r="O22" s="193"/>
      <c r="P22" s="194" t="s">
        <v>66</v>
      </c>
      <c r="Q22" s="195" t="s">
        <v>67</v>
      </c>
      <c r="R22" s="196" t="s">
        <v>68</v>
      </c>
      <c r="S22" s="197" t="s">
        <v>69</v>
      </c>
      <c r="T22" s="198" t="s">
        <v>70</v>
      </c>
      <c r="U22" s="199" t="s">
        <v>71</v>
      </c>
      <c r="V22" s="197" t="s">
        <v>72</v>
      </c>
      <c r="Y22" s="9" t="s">
        <v>73</v>
      </c>
      <c r="Z22" s="9" t="s">
        <v>74</v>
      </c>
      <c r="AA22" s="200" t="s">
        <v>75</v>
      </c>
      <c r="AB22" s="200" t="s">
        <v>76</v>
      </c>
      <c r="AC22" s="200" t="s">
        <v>77</v>
      </c>
    </row>
    <row r="23" customFormat="false" ht="12.75" hidden="false" customHeight="false" outlineLevel="0" collapsed="false">
      <c r="A23" s="201" t="s">
        <v>78</v>
      </c>
      <c r="B23" s="202" t="n">
        <v>0</v>
      </c>
      <c r="C23" s="203" t="n">
        <v>0.00999999977648258</v>
      </c>
      <c r="D23" s="204" t="str">
        <f aca="false">IF(ISERROR(VLOOKUP($A23,,2,0)),IF(ISERROR(VLOOKUP($A23,,1,0)),"",VLOOKUP($A23,,1,0)),VLOOKUP($A23,,2,0))</f>
        <v/>
      </c>
      <c r="E23" s="205" t="n">
        <f aca="false">IF(D23="",,VLOOKUP(D23,D$22:D22,1,0))</f>
        <v>0</v>
      </c>
      <c r="F23" s="206" t="n">
        <f aca="false">($B23*$B$7+$C23*$C$7)/100</f>
        <v>0.00549999987706542</v>
      </c>
      <c r="G23" s="207" t="str">
        <f aca="false">IF(A23="","",IF(ISERROR(VLOOKUP($A23,,13,0)),IF(ISERROR(VLOOKUP($A23,,12,0)),"    -",VLOOKUP($A23,,12,0)),VLOOKUP($A23,,13,0)))</f>
        <v>    -</v>
      </c>
      <c r="H23" s="208" t="str">
        <f aca="false">IF(A23="","x",IF(ISERROR(VLOOKUP($A23,,14,0)),IF(ISERROR(VLOOKUP($A23,,13,0)),"x",VLOOKUP($A23,,13,0)),VLOOKUP($A23,,14,0)))</f>
        <v>x</v>
      </c>
      <c r="I23" s="209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n">
        <v>0</v>
      </c>
      <c r="W23" s="217"/>
      <c r="X23" s="217"/>
      <c r="Y23" s="215" t="str">
        <f aca="false">IF(A23="new.cod","NEWCOD",IF(AND((Z23=""),ISTEXT(A23)),A23,IF(Z23="","",INDEX(,Z23))))</f>
        <v>RANREP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C23" s="9" t="n">
        <f aca="false">IF(A23="","",1)</f>
        <v>1</v>
      </c>
    </row>
    <row r="24" customFormat="false" ht="12.75" hidden="false" customHeight="false" outlineLevel="0" collapsed="false">
      <c r="A24" s="220" t="s">
        <v>79</v>
      </c>
      <c r="B24" s="221" t="n">
        <v>0</v>
      </c>
      <c r="C24" s="222" t="n">
        <v>0.00999999977648258</v>
      </c>
      <c r="D24" s="223" t="str">
        <f aca="false">IF(ISERROR(VLOOKUP($A24,,2,0)),IF(ISERROR(VLOOKUP($A24,,1,0)),"",VLOOKUP($A24,,1,0)),VLOOKUP($A24,,2,0))</f>
        <v/>
      </c>
      <c r="E24" s="224" t="n">
        <f aca="false">IF(D24="",,VLOOKUP(D24,D$22:D23,1,0))</f>
        <v>0</v>
      </c>
      <c r="F24" s="225" t="n">
        <f aca="false">($B24*$B$7+$C24*$C$7)/100</f>
        <v>0.00549999987706542</v>
      </c>
      <c r="G24" s="226" t="str">
        <f aca="false">IF(A24="","",IF(ISERROR(VLOOKUP($A24,,13,0)),IF(ISERROR(VLOOKUP($A24,,12,0)),"    -",VLOOKUP($A24,,12,0)),VLOOKUP($A24,,13,0)))</f>
        <v>    -</v>
      </c>
      <c r="H24" s="208" t="str">
        <f aca="false">IF(A24="","x",IF(ISERROR(VLOOKUP($A24,,14,0)),IF(ISERROR(VLOOKUP($A24,,13,0)),"x",VLOOKUP($A24,,13,0)),VLOOKUP($A24,,14,0)))</f>
        <v>x</v>
      </c>
      <c r="I24" s="227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8"/>
      <c r="M24" s="228"/>
      <c r="N24" s="228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9" t="n">
        <f aca="false">IF(ISERROR(R24*J24),0,R24*J24)</f>
        <v>0</v>
      </c>
      <c r="V24" s="216" t="n">
        <v>0</v>
      </c>
      <c r="W24" s="230"/>
      <c r="Y24" s="215" t="str">
        <f aca="false">IF(A24="new.cod","NEWCOD",IF(AND((Z24=""),ISTEXT(A24)),A24,IF(Z24="","",INDEX(,Z24))))</f>
        <v>DERSPX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C24" s="9" t="n">
        <f aca="false">IF(A24="","",1)</f>
        <v>1</v>
      </c>
    </row>
    <row r="25" customFormat="false" ht="12.75" hidden="false" customHeight="false" outlineLevel="0" collapsed="false">
      <c r="A25" s="220" t="s">
        <v>80</v>
      </c>
      <c r="B25" s="221" t="n">
        <v>0.00999999977648258</v>
      </c>
      <c r="C25" s="222" t="n">
        <v>0.00999999977648258</v>
      </c>
      <c r="D25" s="223" t="str">
        <f aca="false">IF(ISERROR(VLOOKUP($A25,,2,0)),IF(ISERROR(VLOOKUP($A25,,1,0)),"",VLOOKUP($A25,,1,0)),VLOOKUP($A25,,2,0))</f>
        <v/>
      </c>
      <c r="E25" s="224" t="n">
        <f aca="false">IF(D25="",,VLOOKUP(D25,D$22:D24,1,0))</f>
        <v>0</v>
      </c>
      <c r="F25" s="225" t="n">
        <f aca="false">($B25*$B$7+$C25*$C$7)/100</f>
        <v>0.00999999977648258</v>
      </c>
      <c r="G25" s="226" t="str">
        <f aca="false">IF(A25="","",IF(ISERROR(VLOOKUP($A25,,13,0)),IF(ISERROR(VLOOKUP($A25,,12,0)),"    -",VLOOKUP($A25,,12,0)),VLOOKUP($A25,,13,0)))</f>
        <v>    -</v>
      </c>
      <c r="H25" s="208" t="str">
        <f aca="false">IF(A25="","x",IF(ISERROR(VLOOKUP($A25,,14,0)),IF(ISERROR(VLOOKUP($A25,,13,0)),"x",VLOOKUP($A25,,13,0)),VLOOKUP($A25,,14,0)))</f>
        <v>x</v>
      </c>
      <c r="I25" s="227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8"/>
      <c r="M25" s="228"/>
      <c r="N25" s="228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9" t="n">
        <f aca="false">IF(ISERROR(R25*J25),0,R25*J25)</f>
        <v>0</v>
      </c>
      <c r="V25" s="216" t="n">
        <v>0</v>
      </c>
      <c r="W25" s="217"/>
      <c r="Y25" s="215" t="str">
        <f aca="false">IF(A25="new.cod","NEWCOD",IF(AND((Z25=""),ISTEXT(A25)),A25,IF(Z25="","",INDEX(,Z25))))</f>
        <v>PLIUND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C25" s="9" t="n">
        <f aca="false">IF(A25="","",1)</f>
        <v>1</v>
      </c>
    </row>
    <row r="26" customFormat="false" ht="12.75" hidden="false" customHeight="false" outlineLevel="0" collapsed="false">
      <c r="A26" s="220" t="s">
        <v>81</v>
      </c>
      <c r="B26" s="221" t="n">
        <v>0.00999999977648258</v>
      </c>
      <c r="C26" s="222" t="n">
        <v>0</v>
      </c>
      <c r="D26" s="223" t="str">
        <f aca="false">IF(ISERROR(VLOOKUP($A26,,2,0)),IF(ISERROR(VLOOKUP($A26,,1,0)),"",VLOOKUP($A26,,1,0)),VLOOKUP($A26,,2,0))</f>
        <v/>
      </c>
      <c r="E26" s="224" t="n">
        <f aca="false">IF(D26="",,VLOOKUP(D26,D$22:D25,1,0))</f>
        <v>0</v>
      </c>
      <c r="F26" s="225" t="n">
        <f aca="false">($B26*$B$7+$C26*$C$7)/100</f>
        <v>0.00449999989941716</v>
      </c>
      <c r="G26" s="226" t="str">
        <f aca="false">IF(A26="","",IF(ISERROR(VLOOKUP($A26,,13,0)),IF(ISERROR(VLOOKUP($A26,,12,0)),"    -",VLOOKUP($A26,,12,0)),VLOOKUP($A26,,13,0)))</f>
        <v>    -</v>
      </c>
      <c r="H26" s="208" t="str">
        <f aca="false">IF(A26="","x",IF(ISERROR(VLOOKUP($A26,,14,0)),IF(ISERROR(VLOOKUP($A26,,13,0)),"x",VLOOKUP($A26,,13,0)),VLOOKUP($A26,,14,0)))</f>
        <v>x</v>
      </c>
      <c r="I26" s="227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8"/>
      <c r="M26" s="228"/>
      <c r="N26" s="228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9" t="n">
        <f aca="false">IF(ISERROR(R26*J26),0,R26*J26)</f>
        <v>0</v>
      </c>
      <c r="V26" s="216" t="n">
        <v>2</v>
      </c>
      <c r="W26" s="217"/>
      <c r="Y26" s="215" t="str">
        <f aca="false">IF(A26="new.cod","NEWCOD",IF(AND((Z26=""),ISTEXT(A26)),A26,IF(Z26="","",INDEX(,Z26))))</f>
        <v>POLHYD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C26" s="9" t="n">
        <f aca="false">IF(A26="","",1)</f>
        <v>1</v>
      </c>
    </row>
    <row r="27" customFormat="false" ht="12.75" hidden="false" customHeight="false" outlineLevel="0" collapsed="false">
      <c r="A27" s="220" t="s">
        <v>82</v>
      </c>
      <c r="B27" s="221" t="n">
        <v>0.00999999977648258</v>
      </c>
      <c r="C27" s="222" t="n">
        <v>0</v>
      </c>
      <c r="D27" s="223" t="str">
        <f aca="false">IF(ISERROR(VLOOKUP($A27,,2,0)),IF(ISERROR(VLOOKUP($A27,,1,0)),"",VLOOKUP($A27,,1,0)),VLOOKUP($A27,,2,0))</f>
        <v/>
      </c>
      <c r="E27" s="224" t="n">
        <f aca="false">IF(D27="",,VLOOKUP(D27,D$22:D26,1,0))</f>
        <v>0</v>
      </c>
      <c r="F27" s="225" t="n">
        <f aca="false">($B27*$B$7+$C27*$C$7)/100</f>
        <v>0.00449999989941716</v>
      </c>
      <c r="G27" s="226" t="str">
        <f aca="false">IF(A27="","",IF(ISERROR(VLOOKUP($A27,,13,0)),IF(ISERROR(VLOOKUP($A27,,12,0)),"    -",VLOOKUP($A27,,12,0)),VLOOKUP($A27,,13,0)))</f>
        <v>    -</v>
      </c>
      <c r="H27" s="208" t="str">
        <f aca="false">IF(A27="","x",IF(ISERROR(VLOOKUP($A27,,14,0)),IF(ISERROR(VLOOKUP($A27,,13,0)),"x",VLOOKUP($A27,,13,0)),VLOOKUP($A27,,14,0)))</f>
        <v>x</v>
      </c>
      <c r="I27" s="227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8"/>
      <c r="M27" s="228"/>
      <c r="N27" s="228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9" t="n">
        <f aca="false">IF(ISERROR(R27*J27),0,R27*J27)</f>
        <v>0</v>
      </c>
      <c r="V27" s="216" t="n">
        <v>0</v>
      </c>
      <c r="W27" s="217"/>
      <c r="Y27" s="215" t="str">
        <f aca="false">IF(A27="new.cod","NEWCOD",IF(AND((Z27=""),ISTEXT(A27)),A27,IF(Z27="","",INDEX(,Z27))))</f>
        <v>GLEHED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C27" s="9" t="n">
        <f aca="false">IF(A27="","",1)</f>
        <v>1</v>
      </c>
    </row>
    <row r="28" customFormat="false" ht="12.75" hidden="false" customHeight="false" outlineLevel="0" collapsed="false">
      <c r="A28" s="220" t="s">
        <v>83</v>
      </c>
      <c r="B28" s="221" t="n">
        <v>0.00999999977648258</v>
      </c>
      <c r="C28" s="222" t="n">
        <v>0</v>
      </c>
      <c r="D28" s="223" t="str">
        <f aca="false">IF(ISERROR(VLOOKUP($A28,,2,0)),IF(ISERROR(VLOOKUP($A28,,1,0)),"",VLOOKUP($A28,,1,0)),VLOOKUP($A28,,2,0))</f>
        <v/>
      </c>
      <c r="E28" s="224" t="n">
        <f aca="false">IF(D28="",,VLOOKUP(D28,D$22:D27,1,0))</f>
        <v>0</v>
      </c>
      <c r="F28" s="225" t="n">
        <f aca="false">($B28*$B$7+$C28*$C$7)/100</f>
        <v>0.00449999989941716</v>
      </c>
      <c r="G28" s="226" t="str">
        <f aca="false">IF(A28="","",IF(ISERROR(VLOOKUP($A28,,13,0)),IF(ISERROR(VLOOKUP($A28,,12,0)),"    -",VLOOKUP($A28,,12,0)),VLOOKUP($A28,,13,0)))</f>
        <v>    -</v>
      </c>
      <c r="H28" s="208" t="str">
        <f aca="false">IF(A28="","x",IF(ISERROR(VLOOKUP($A28,,14,0)),IF(ISERROR(VLOOKUP($A28,,13,0)),"x",VLOOKUP($A28,,13,0)),VLOOKUP($A28,,14,0)))</f>
        <v>x</v>
      </c>
      <c r="I28" s="227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8"/>
      <c r="M28" s="228"/>
      <c r="N28" s="228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9" t="n">
        <f aca="false">IF(ISERROR(R28*J28),0,R28*J28)</f>
        <v>0</v>
      </c>
      <c r="V28" s="216" t="n">
        <v>2</v>
      </c>
      <c r="W28" s="217"/>
      <c r="Y28" s="215" t="str">
        <f aca="false">IF(A28="new.cod","NEWCOD",IF(AND((Z28=""),ISTEXT(A28)),A28,IF(Z28="","",INDEX(,Z28))))</f>
        <v>FISCRA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C28" s="9" t="n">
        <f aca="false">IF(A28="","",1)</f>
        <v>1</v>
      </c>
    </row>
    <row r="29" customFormat="false" ht="12.75" hidden="false" customHeight="false" outlineLevel="0" collapsed="false">
      <c r="A29" s="220" t="s">
        <v>84</v>
      </c>
      <c r="B29" s="221" t="n">
        <v>0.0839999988675118</v>
      </c>
      <c r="C29" s="222" t="n">
        <v>0.0889090895652771</v>
      </c>
      <c r="D29" s="223" t="str">
        <f aca="false">IF(ISERROR(VLOOKUP($A29,,2,0)),IF(ISERROR(VLOOKUP($A29,,1,0)),"",VLOOKUP($A29,,1,0)),VLOOKUP($A29,,2,0))</f>
        <v/>
      </c>
      <c r="E29" s="224" t="n">
        <f aca="false">IF(D29="",,VLOOKUP(D29,D$22:D28,1,0))</f>
        <v>0</v>
      </c>
      <c r="F29" s="225" t="n">
        <f aca="false">($B29*$B$7+$C29*$C$7)/100</f>
        <v>0.0866999987512827</v>
      </c>
      <c r="G29" s="226" t="str">
        <f aca="false">IF(A29="","",IF(ISERROR(VLOOKUP($A29,,13,0)),IF(ISERROR(VLOOKUP($A29,,12,0)),"    -",VLOOKUP($A29,,12,0)),VLOOKUP($A29,,13,0)))</f>
        <v>    -</v>
      </c>
      <c r="H29" s="208" t="str">
        <f aca="false">IF(A29="","x",IF(ISERROR(VLOOKUP($A29,,14,0)),IF(ISERROR(VLOOKUP($A29,,13,0)),"x",VLOOKUP($A29,,13,0)),VLOOKUP($A29,,14,0)))</f>
        <v>x</v>
      </c>
      <c r="I29" s="227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8"/>
      <c r="M29" s="228"/>
      <c r="N29" s="228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9" t="n">
        <f aca="false">IF(ISERROR(R29*J29),0,R29*J29)</f>
        <v>0</v>
      </c>
      <c r="V29" s="216" t="n">
        <v>0</v>
      </c>
      <c r="W29" s="217"/>
      <c r="Y29" s="215" t="str">
        <f aca="false">IF(A29="new.cod","NEWCOD",IF(AND((Z29=""),ISTEXT(A29)),A29,IF(Z29="","",INDEX(,Z29))))</f>
        <v>EURSPX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C29" s="9" t="n">
        <f aca="false">IF(A29="","",1)</f>
        <v>1</v>
      </c>
    </row>
    <row r="30" customFormat="false" ht="12.75" hidden="false" customHeight="false" outlineLevel="0" collapsed="false">
      <c r="A30" s="220" t="s">
        <v>85</v>
      </c>
      <c r="B30" s="221" t="n">
        <v>0.193333297967911</v>
      </c>
      <c r="C30" s="222" t="n">
        <v>2.61818170547485</v>
      </c>
      <c r="D30" s="223" t="str">
        <f aca="false">IF(ISERROR(VLOOKUP($A30,,2,0)),IF(ISERROR(VLOOKUP($A30,,1,0)),"",VLOOKUP($A30,,1,0)),VLOOKUP($A30,,2,0))</f>
        <v/>
      </c>
      <c r="E30" s="224" t="n">
        <f aca="false">IF(D30="",,VLOOKUP(D30,D$22:D29,1,0))</f>
        <v>0</v>
      </c>
      <c r="F30" s="225" t="n">
        <f aca="false">($B30*$B$7+$C30*$C$7)/100</f>
        <v>1.52699992209673</v>
      </c>
      <c r="G30" s="226" t="str">
        <f aca="false">IF(A30="","",IF(ISERROR(VLOOKUP($A30,,13,0)),IF(ISERROR(VLOOKUP($A30,,12,0)),"    -",VLOOKUP($A30,,12,0)),VLOOKUP($A30,,13,0)))</f>
        <v>    -</v>
      </c>
      <c r="H30" s="208" t="str">
        <f aca="false">IF(A30="","x",IF(ISERROR(VLOOKUP($A30,,14,0)),IF(ISERROR(VLOOKUP($A30,,13,0)),"x",VLOOKUP($A30,,13,0)),VLOOKUP($A30,,14,0)))</f>
        <v>x</v>
      </c>
      <c r="I30" s="227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8"/>
      <c r="M30" s="228"/>
      <c r="N30" s="228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9" t="n">
        <f aca="false">IF(ISERROR(R30*J30),0,R30*J30)</f>
        <v>0</v>
      </c>
      <c r="V30" s="216" t="n">
        <v>6</v>
      </c>
      <c r="W30" s="217"/>
      <c r="Y30" s="215" t="str">
        <f aca="false">IF(A30="new.cod","NEWCOD",IF(AND((Z30=""),ISTEXT(A30)),A30,IF(Z30="","",INDEX(,Z30))))</f>
        <v>HILSPX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C30" s="9" t="n">
        <f aca="false">IF(A30="","",1)</f>
        <v>1</v>
      </c>
    </row>
    <row r="31" customFormat="false" ht="12.75" hidden="false" customHeight="false" outlineLevel="0" collapsed="false">
      <c r="A31" s="220" t="s">
        <v>86</v>
      </c>
      <c r="B31" s="221" t="n">
        <v>0.306666702032089</v>
      </c>
      <c r="C31" s="222" t="n">
        <v>0.0872727259993553</v>
      </c>
      <c r="D31" s="223" t="str">
        <f aca="false">IF(ISERROR(VLOOKUP($A31,,2,0)),IF(ISERROR(VLOOKUP($A31,,1,0)),"",VLOOKUP($A31,,1,0)),VLOOKUP($A31,,2,0))</f>
        <v/>
      </c>
      <c r="E31" s="224" t="n">
        <f aca="false">IF(D31="",,VLOOKUP(D31,D$22:D30,1,0))</f>
        <v>0</v>
      </c>
      <c r="F31" s="225" t="n">
        <f aca="false">($B31*$B$7+$C31*$C$7)/100</f>
        <v>0.186000015214086</v>
      </c>
      <c r="G31" s="226" t="str">
        <f aca="false">IF(A31="","",IF(ISERROR(VLOOKUP($A31,,13,0)),IF(ISERROR(VLOOKUP($A31,,12,0)),"    -",VLOOKUP($A31,,12,0)),VLOOKUP($A31,,13,0)))</f>
        <v>    -</v>
      </c>
      <c r="H31" s="208" t="str">
        <f aca="false">IF(A31="","x",IF(ISERROR(VLOOKUP($A31,,14,0)),IF(ISERROR(VLOOKUP($A31,,13,0)),"x",VLOOKUP($A31,,13,0)),VLOOKUP($A31,,14,0)))</f>
        <v>x</v>
      </c>
      <c r="I31" s="227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8"/>
      <c r="M31" s="228"/>
      <c r="N31" s="228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>No</v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9" t="n">
        <f aca="false">IF(ISERROR(R31*J31),0,R31*J31)</f>
        <v>0</v>
      </c>
      <c r="V31" s="216" t="n">
        <v>0</v>
      </c>
      <c r="W31" s="217"/>
      <c r="Y31" s="215" t="str">
        <f aca="false">IF(A31="new.cod","NEWCOD",IF(AND((Z31=""),ISTEXT(A31)),A31,IF(Z31="","",INDEX(,Z31))))</f>
        <v>newcod</v>
      </c>
      <c r="Z31" s="9" t="str">
        <f aca="false">IF(ISERROR(MATCH(A31,,0)),IF(ISERROR(MATCH(A31,,0)),"",(MATCH(A31,,0))),(MATCH(A31,,0)))</f>
        <v/>
      </c>
      <c r="AA31" s="218"/>
      <c r="AB31" s="220" t="s">
        <v>87</v>
      </c>
      <c r="AC31" s="219"/>
      <c r="BC31" s="9" t="n">
        <f aca="false">IF(A31="","",1)</f>
        <v>1</v>
      </c>
    </row>
    <row r="32" customFormat="false" ht="12.75" hidden="false" customHeight="false" outlineLevel="0" collapsed="false">
      <c r="A32" s="220" t="s">
        <v>88</v>
      </c>
      <c r="B32" s="221" t="n">
        <v>0.464444488286972</v>
      </c>
      <c r="C32" s="222" t="n">
        <v>0</v>
      </c>
      <c r="D32" s="223" t="str">
        <f aca="false">IF(ISERROR(VLOOKUP($A32,,2,0)),IF(ISERROR(VLOOKUP($A32,,1,0)),"",VLOOKUP($A32,,1,0)),VLOOKUP($A32,,2,0))</f>
        <v/>
      </c>
      <c r="E32" s="224" t="n">
        <f aca="false">IF(D32="",,VLOOKUP(D32,D$22:D31,1,0))</f>
        <v>0</v>
      </c>
      <c r="F32" s="225" t="n">
        <f aca="false">($B32*$B$7+$C32*$C$7)/100</f>
        <v>0.209000019729137</v>
      </c>
      <c r="G32" s="226" t="str">
        <f aca="false">IF(A32="","",IF(ISERROR(VLOOKUP($A32,,13,0)),IF(ISERROR(VLOOKUP($A32,,12,0)),"    -",VLOOKUP($A32,,12,0)),VLOOKUP($A32,,13,0)))</f>
        <v>    -</v>
      </c>
      <c r="H32" s="208" t="str">
        <f aca="false">IF(A32="","x",IF(ISERROR(VLOOKUP($A32,,14,0)),IF(ISERROR(VLOOKUP($A32,,13,0)),"x",VLOOKUP($A32,,13,0)),VLOOKUP($A32,,14,0)))</f>
        <v>x</v>
      </c>
      <c r="I32" s="227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8"/>
      <c r="M32" s="228"/>
      <c r="N32" s="228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9" t="n">
        <f aca="false">IF(ISERROR(R32*J32),0,R32*J32)</f>
        <v>0</v>
      </c>
      <c r="V32" s="216" t="n">
        <v>2</v>
      </c>
      <c r="W32" s="217"/>
      <c r="Y32" s="215" t="str">
        <f aca="false">IF(A32="new.cod","NEWCOD",IF(AND((Z32=""),ISTEXT(A32)),A32,IF(Z32="","",INDEX(,Z32))))</f>
        <v>RHYRIP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C32" s="9" t="n">
        <f aca="false">IF(A32="","",1)</f>
        <v>1</v>
      </c>
    </row>
    <row r="33" customFormat="false" ht="12.75" hidden="false" customHeight="false" outlineLevel="0" collapsed="false">
      <c r="A33" s="220" t="s">
        <v>89</v>
      </c>
      <c r="B33" s="221" t="n">
        <v>0.515555620193481</v>
      </c>
      <c r="C33" s="222" t="n">
        <v>0.0872727259993553</v>
      </c>
      <c r="D33" s="223" t="str">
        <f aca="false">IF(ISERROR(VLOOKUP($A33,,2,0)),IF(ISERROR(VLOOKUP($A33,,1,0)),"",VLOOKUP($A33,,1,0)),VLOOKUP($A33,,2,0))</f>
        <v/>
      </c>
      <c r="E33" s="224" t="n">
        <f aca="false">IF(D33="",,VLOOKUP(D33,D$22:D32,1,0))</f>
        <v>0</v>
      </c>
      <c r="F33" s="225" t="n">
        <f aca="false">($B33*$B$7+$C33*$C$7)/100</f>
        <v>0.280000028386712</v>
      </c>
      <c r="G33" s="226" t="str">
        <f aca="false">IF(A33="","",IF(ISERROR(VLOOKUP($A33,,13,0)),IF(ISERROR(VLOOKUP($A33,,12,0)),"    -",VLOOKUP($A33,,12,0)),VLOOKUP($A33,,13,0)))</f>
        <v>    -</v>
      </c>
      <c r="H33" s="208" t="str">
        <f aca="false">IF(A33="","x",IF(ISERROR(VLOOKUP($A33,,14,0)),IF(ISERROR(VLOOKUP($A33,,13,0)),"x",VLOOKUP($A33,,13,0)),VLOOKUP($A33,,14,0)))</f>
        <v>x</v>
      </c>
      <c r="I33" s="227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8"/>
      <c r="M33" s="228"/>
      <c r="N33" s="228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9" t="n">
        <f aca="false">IF(ISERROR(R33*J33),0,R33*J33)</f>
        <v>0</v>
      </c>
      <c r="V33" s="216" t="n">
        <v>2</v>
      </c>
      <c r="W33" s="217"/>
      <c r="Y33" s="215" t="str">
        <f aca="false">IF(A33="new.cod","NEWCOD",IF(AND((Z33=""),ISTEXT(A33)),A33,IF(Z33="","",INDEX(,Z33))))</f>
        <v>FONANT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C33" s="9" t="n">
        <f aca="false">IF(A33="","",1)</f>
        <v>1</v>
      </c>
    </row>
    <row r="34" customFormat="false" ht="12.75" hidden="false" customHeight="false" outlineLevel="0" collapsed="false">
      <c r="A34" s="220"/>
      <c r="B34" s="221"/>
      <c r="C34" s="222"/>
      <c r="D34" s="223" t="str">
        <f aca="false">IF(ISERROR(VLOOKUP($A34,,2,0)),IF(ISERROR(VLOOKUP($A34,,1,0)),"",VLOOKUP($A34,,1,0)),VLOOKUP($A34,,2,0))</f>
        <v/>
      </c>
      <c r="E34" s="224" t="n">
        <f aca="false">IF(D34="",,VLOOKUP(D34,D$22:D33,1,0))</f>
        <v>0</v>
      </c>
      <c r="F34" s="231" t="n">
        <f aca="false">($B34*$B$7+$C34*$C$7)/100</f>
        <v>0</v>
      </c>
      <c r="G34" s="226" t="str">
        <f aca="false">IF(A34="","",IF(ISERROR(VLOOKUP($A34,,13,0)),IF(ISERROR(VLOOKUP($A34,,12,0)),"    -",VLOOKUP($A34,,12,0)),VLOOKUP($A34,,13,0)))</f>
        <v/>
      </c>
      <c r="H34" s="208" t="str">
        <f aca="false">IF(A34="","x",IF(ISERROR(VLOOKUP($A34,,14,0)),IF(ISERROR(VLOOKUP($A34,,13,0)),"x",VLOOKUP($A34,,13,0)),VLOOKUP($A34,,14,0)))</f>
        <v>x</v>
      </c>
      <c r="I34" s="227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/>
      </c>
      <c r="L34" s="228"/>
      <c r="M34" s="228"/>
      <c r="N34" s="228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9" t="n">
        <f aca="false">IF(ISERROR(R34*J34),0,R34*J34)</f>
        <v>0</v>
      </c>
      <c r="V34" s="216" t="n">
        <v>0</v>
      </c>
      <c r="W34" s="217"/>
      <c r="Y34" s="215" t="str">
        <f aca="false">IF(A34="new.cod","NEWCOD",IF(AND((Z34=""),ISTEXT(A34)),A34,IF(Z34="","",INDEX(,Z34))))</f>
        <v/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C34" s="9" t="str">
        <f aca="false">IF(A34="","",1)</f>
        <v/>
      </c>
    </row>
    <row r="35" customFormat="false" ht="12.75" hidden="false" customHeight="false" outlineLevel="0" collapsed="false">
      <c r="A35" s="220"/>
      <c r="B35" s="221"/>
      <c r="C35" s="222"/>
      <c r="D35" s="223" t="str">
        <f aca="false">IF(ISERROR(VLOOKUP($A35,,2,0)),IF(ISERROR(VLOOKUP($A35,,1,0)),"",VLOOKUP($A35,,1,0)),VLOOKUP($A35,,2,0))</f>
        <v/>
      </c>
      <c r="E35" s="224" t="n">
        <f aca="false">IF(D35="",,VLOOKUP(D35,D$22:D34,1,0))</f>
        <v>0</v>
      </c>
      <c r="F35" s="231" t="n">
        <f aca="false">($B35*$B$7+$C35*$C$7)/100</f>
        <v>0</v>
      </c>
      <c r="G35" s="226" t="str">
        <f aca="false">IF(A35="","",IF(ISERROR(VLOOKUP($A35,,13,0)),IF(ISERROR(VLOOKUP($A35,,12,0)),"    -",VLOOKUP($A35,,12,0)),VLOOKUP($A35,,13,0)))</f>
        <v/>
      </c>
      <c r="H35" s="208" t="str">
        <f aca="false">IF(A35="","x",IF(ISERROR(VLOOKUP($A35,,14,0)),IF(ISERROR(VLOOKUP($A35,,13,0)),"x",VLOOKUP($A35,,13,0)),VLOOKUP($A35,,14,0)))</f>
        <v>x</v>
      </c>
      <c r="I35" s="227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/>
      </c>
      <c r="L35" s="228"/>
      <c r="M35" s="228"/>
      <c r="N35" s="228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9" t="n">
        <f aca="false">IF(ISERROR(R35*J35),0,R35*J35)</f>
        <v>0</v>
      </c>
      <c r="V35" s="216" t="n">
        <v>0</v>
      </c>
      <c r="W35" s="217"/>
      <c r="Y35" s="215" t="str">
        <f aca="false">IF(A35="new.cod","NEWCOD",IF(AND((Z35=""),ISTEXT(A35)),A35,IF(Z35="","",INDEX(,Z35))))</f>
        <v/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C35" s="9" t="str">
        <f aca="false">IF(A35="","",1)</f>
        <v/>
      </c>
    </row>
    <row r="36" customFormat="false" ht="12.75" hidden="false" customHeight="false" outlineLevel="0" collapsed="false">
      <c r="A36" s="220"/>
      <c r="B36" s="221"/>
      <c r="C36" s="222"/>
      <c r="D36" s="223" t="str">
        <f aca="false">IF(ISERROR(VLOOKUP($A36,,2,0)),IF(ISERROR(VLOOKUP($A36,,1,0)),"",VLOOKUP($A36,,1,0)),VLOOKUP($A36,,2,0))</f>
        <v/>
      </c>
      <c r="E36" s="224" t="n">
        <f aca="false">IF(D36="",,VLOOKUP(D36,D$22:D35,1,0))</f>
        <v>0</v>
      </c>
      <c r="F36" s="231" t="n">
        <f aca="false">($B36*$B$7+$C36*$C$7)/100</f>
        <v>0</v>
      </c>
      <c r="G36" s="226" t="str">
        <f aca="false">IF(A36="","",IF(ISERROR(VLOOKUP($A36,,13,0)),IF(ISERROR(VLOOKUP($A36,,12,0)),"    -",VLOOKUP($A36,,12,0)),VLOOKUP($A36,,13,0)))</f>
        <v/>
      </c>
      <c r="H36" s="208" t="str">
        <f aca="false">IF(A36="","x",IF(ISERROR(VLOOKUP($A36,,14,0)),IF(ISERROR(VLOOKUP($A36,,13,0)),"x",VLOOKUP($A36,,13,0)),VLOOKUP($A36,,14,0)))</f>
        <v>x</v>
      </c>
      <c r="I36" s="227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/>
      </c>
      <c r="L36" s="228"/>
      <c r="M36" s="228"/>
      <c r="N36" s="228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9" t="n">
        <f aca="false">IF(ISERROR(R36*J36),0,R36*J36)</f>
        <v>0</v>
      </c>
      <c r="V36" s="216" t="n">
        <v>0</v>
      </c>
      <c r="W36" s="217"/>
      <c r="Y36" s="215" t="str">
        <f aca="false">IF(A36="new.cod","NEWCOD",IF(AND((Z36=""),ISTEXT(A36)),A36,IF(Z36="","",INDEX(,Z36))))</f>
        <v/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C36" s="9" t="str">
        <f aca="false">IF(A36="","",1)</f>
        <v/>
      </c>
    </row>
    <row r="37" customFormat="false" ht="12.75" hidden="false" customHeight="false" outlineLevel="0" collapsed="false">
      <c r="A37" s="220"/>
      <c r="B37" s="221"/>
      <c r="C37" s="222"/>
      <c r="D37" s="223" t="str">
        <f aca="false">IF(ISERROR(VLOOKUP($A37,,2,0)),IF(ISERROR(VLOOKUP($A37,,1,0)),"",VLOOKUP($A37,,1,0)),VLOOKUP($A37,,2,0))</f>
        <v/>
      </c>
      <c r="E37" s="224" t="n">
        <f aca="false">IF(D37="",,VLOOKUP(D37,D$22:D36,1,0))</f>
        <v>0</v>
      </c>
      <c r="F37" s="231" t="n">
        <f aca="false">($B37*$B$7+$C37*$C$7)/100</f>
        <v>0</v>
      </c>
      <c r="G37" s="226" t="str">
        <f aca="false">IF(A37="","",IF(ISERROR(VLOOKUP($A37,,13,0)),IF(ISERROR(VLOOKUP($A37,,12,0)),"    -",VLOOKUP($A37,,12,0)),VLOOKUP($A37,,13,0)))</f>
        <v/>
      </c>
      <c r="H37" s="208" t="str">
        <f aca="false">IF(A37="","x",IF(ISERROR(VLOOKUP($A37,,14,0)),IF(ISERROR(VLOOKUP($A37,,13,0)),"x",VLOOKUP($A37,,13,0)),VLOOKUP($A37,,14,0)))</f>
        <v>x</v>
      </c>
      <c r="I37" s="227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/>
      </c>
      <c r="L37" s="228"/>
      <c r="M37" s="228"/>
      <c r="N37" s="228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9" t="n">
        <f aca="false">IF(ISERROR(R37*J37),0,R37*J37)</f>
        <v>0</v>
      </c>
      <c r="V37" s="216" t="n">
        <v>0</v>
      </c>
      <c r="W37" s="217"/>
      <c r="Y37" s="215" t="str">
        <f aca="false">IF(A37="new.cod","NEWCOD",IF(AND((Z37=""),ISTEXT(A37)),A37,IF(Z37="","",INDEX(,Z37))))</f>
        <v/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C37" s="9" t="str">
        <f aca="false">IF(A37="","",1)</f>
        <v/>
      </c>
    </row>
    <row r="38" customFormat="false" ht="12.75" hidden="false" customHeight="false" outlineLevel="0" collapsed="false">
      <c r="A38" s="220"/>
      <c r="B38" s="221"/>
      <c r="C38" s="222"/>
      <c r="D38" s="223" t="str">
        <f aca="false">IF(ISERROR(VLOOKUP($A38,,2,0)),IF(ISERROR(VLOOKUP($A38,,1,0)),"",VLOOKUP($A38,,1,0)),VLOOKUP($A38,,2,0))</f>
        <v/>
      </c>
      <c r="E38" s="224" t="n">
        <f aca="false">IF(D38="",,VLOOKUP(D38,D$22:D37,1,0))</f>
        <v>0</v>
      </c>
      <c r="F38" s="231" t="n">
        <f aca="false">($B38*$B$7+$C38*$C$7)/100</f>
        <v>0</v>
      </c>
      <c r="G38" s="226" t="str">
        <f aca="false">IF(A38="","",IF(ISERROR(VLOOKUP($A38,,13,0)),IF(ISERROR(VLOOKUP($A38,,12,0)),"    -",VLOOKUP($A38,,12,0)),VLOOKUP($A38,,13,0)))</f>
        <v/>
      </c>
      <c r="H38" s="208" t="str">
        <f aca="false">IF(A38="","x",IF(ISERROR(VLOOKUP($A38,,14,0)),IF(ISERROR(VLOOKUP($A38,,13,0)),"x",VLOOKUP($A38,,13,0)),VLOOKUP($A38,,14,0)))</f>
        <v>x</v>
      </c>
      <c r="I38" s="227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/>
      </c>
      <c r="L38" s="228"/>
      <c r="M38" s="228"/>
      <c r="N38" s="228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9" t="n">
        <f aca="false">IF(ISERROR(R38*J38),0,R38*J38)</f>
        <v>0</v>
      </c>
      <c r="V38" s="216" t="n">
        <v>0</v>
      </c>
      <c r="W38" s="217"/>
      <c r="Y38" s="215" t="str">
        <f aca="false">IF(A38="new.cod","NEWCOD",IF(AND((Z38=""),ISTEXT(A38)),A38,IF(Z38="","",INDEX(,Z38))))</f>
        <v/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C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23" t="str">
        <f aca="false">IF(ISERROR(VLOOKUP($A39,,2,0)),IF(ISERROR(VLOOKUP($A39,,1,0)),"",VLOOKUP($A39,,1,0)),VLOOKUP($A39,,2,0))</f>
        <v/>
      </c>
      <c r="E39" s="224" t="n">
        <f aca="false">IF(D39="",,VLOOKUP(D39,D$22:D38,1,0))</f>
        <v>0</v>
      </c>
      <c r="F39" s="231" t="n">
        <f aca="false">($B39*$B$7+$C39*$C$7)/100</f>
        <v>0</v>
      </c>
      <c r="G39" s="226" t="str">
        <f aca="false">IF(A39="","",IF(ISERROR(VLOOKUP($A39,,13,0)),IF(ISERROR(VLOOKUP($A39,,12,0)),"    -",VLOOKUP($A39,,12,0)),VLOOKUP($A39,,13,0)))</f>
        <v/>
      </c>
      <c r="H39" s="208" t="str">
        <f aca="false">IF(A39="","x",IF(ISERROR(VLOOKUP($A39,,14,0)),IF(ISERROR(VLOOKUP($A39,,13,0)),"x",VLOOKUP($A39,,13,0)),VLOOKUP($A39,,14,0)))</f>
        <v>x</v>
      </c>
      <c r="I39" s="227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8"/>
      <c r="M39" s="228"/>
      <c r="N39" s="228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9" t="n">
        <f aca="false">IF(ISERROR(R39*J39),0,R39*J39)</f>
        <v>0</v>
      </c>
      <c r="V39" s="216" t="n">
        <v>0</v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C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23" t="str">
        <f aca="false">IF(ISERROR(VLOOKUP($A40,,2,0)),IF(ISERROR(VLOOKUP($A40,,1,0)),"",VLOOKUP($A40,,1,0)),VLOOKUP($A40,,2,0))</f>
        <v/>
      </c>
      <c r="E40" s="224" t="n">
        <f aca="false">IF(D40="",,VLOOKUP(D40,D$22:D39,1,0))</f>
        <v>0</v>
      </c>
      <c r="F40" s="231" t="n">
        <f aca="false">($B40*$B$7+$C40*$C$7)/100</f>
        <v>0</v>
      </c>
      <c r="G40" s="226" t="str">
        <f aca="false">IF(A40="","",IF(ISERROR(VLOOKUP($A40,,13,0)),IF(ISERROR(VLOOKUP($A40,,12,0)),"    -",VLOOKUP($A40,,12,0)),VLOOKUP($A40,,13,0)))</f>
        <v/>
      </c>
      <c r="H40" s="208" t="str">
        <f aca="false">IF(A40="","x",IF(ISERROR(VLOOKUP($A40,,14,0)),IF(ISERROR(VLOOKUP($A40,,13,0)),"x",VLOOKUP($A40,,13,0)),VLOOKUP($A40,,14,0)))</f>
        <v>x</v>
      </c>
      <c r="I40" s="227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8"/>
      <c r="M40" s="228"/>
      <c r="N40" s="228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9" t="n">
        <f aca="false">IF(ISERROR(R40*J40),0,R40*J40)</f>
        <v>0</v>
      </c>
      <c r="V40" s="216" t="n">
        <v>0</v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C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23" t="str">
        <f aca="false">IF(ISERROR(VLOOKUP($A41,,2,0)),IF(ISERROR(VLOOKUP($A41,,1,0)),"",VLOOKUP($A41,,1,0)),VLOOKUP($A41,,2,0))</f>
        <v/>
      </c>
      <c r="E41" s="224" t="n">
        <f aca="false">IF(D41="",,VLOOKUP(D41,D$22:D40,1,0))</f>
        <v>0</v>
      </c>
      <c r="F41" s="231" t="n">
        <f aca="false">($B41*$B$7+$C41*$C$7)/100</f>
        <v>0</v>
      </c>
      <c r="G41" s="226" t="str">
        <f aca="false">IF(A41="","",IF(ISERROR(VLOOKUP($A41,,13,0)),IF(ISERROR(VLOOKUP($A41,,12,0)),"    -",VLOOKUP($A41,,12,0)),VLOOKUP($A41,,13,0)))</f>
        <v/>
      </c>
      <c r="H41" s="208" t="str">
        <f aca="false">IF(A41="","x",IF(ISERROR(VLOOKUP($A41,,14,0)),IF(ISERROR(VLOOKUP($A41,,13,0)),"x",VLOOKUP($A41,,13,0)),VLOOKUP($A41,,14,0)))</f>
        <v>x</v>
      </c>
      <c r="I41" s="227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8"/>
      <c r="M41" s="228"/>
      <c r="N41" s="228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9" t="n">
        <f aca="false">IF(ISERROR(R41*J41),0,R41*J41)</f>
        <v>0</v>
      </c>
      <c r="V41" s="216" t="n">
        <v>0</v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C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23" t="str">
        <f aca="false">IF(ISERROR(VLOOKUP($A42,,2,0)),IF(ISERROR(VLOOKUP($A42,,1,0)),"",VLOOKUP($A42,,1,0)),VLOOKUP($A42,,2,0))</f>
        <v/>
      </c>
      <c r="E42" s="224" t="n">
        <f aca="false">IF(D42="",,VLOOKUP(D42,D$22:D41,1,0))</f>
        <v>0</v>
      </c>
      <c r="F42" s="231" t="n">
        <f aca="false">($B42*$B$7+$C42*$C$7)/100</f>
        <v>0</v>
      </c>
      <c r="G42" s="226" t="str">
        <f aca="false">IF(A42="","",IF(ISERROR(VLOOKUP($A42,,13,0)),IF(ISERROR(VLOOKUP($A42,,12,0)),"    -",VLOOKUP($A42,,12,0)),VLOOKUP($A42,,13,0)))</f>
        <v/>
      </c>
      <c r="H42" s="208" t="str">
        <f aca="false">IF(A42="","x",IF(ISERROR(VLOOKUP($A42,,14,0)),IF(ISERROR(VLOOKUP($A42,,13,0)),"x",VLOOKUP($A42,,13,0)),VLOOKUP($A42,,14,0)))</f>
        <v>x</v>
      </c>
      <c r="I42" s="227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8"/>
      <c r="M42" s="228"/>
      <c r="N42" s="228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9" t="n">
        <f aca="false">IF(ISERROR(R42*J42),0,R42*J42)</f>
        <v>0</v>
      </c>
      <c r="V42" s="216" t="n">
        <v>0</v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C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23" t="str">
        <f aca="false">IF(ISERROR(VLOOKUP($A43,,2,0)),IF(ISERROR(VLOOKUP($A43,,1,0)),"",VLOOKUP($A43,,1,0)),VLOOKUP($A43,,2,0))</f>
        <v/>
      </c>
      <c r="E43" s="224" t="n">
        <f aca="false">IF(D43="",,VLOOKUP(D43,D$22:D42,1,0))</f>
        <v>0</v>
      </c>
      <c r="F43" s="231" t="n">
        <f aca="false">($B43*$B$7+$C43*$C$7)/100</f>
        <v>0</v>
      </c>
      <c r="G43" s="226" t="str">
        <f aca="false">IF(A43="","",IF(ISERROR(VLOOKUP($A43,,13,0)),IF(ISERROR(VLOOKUP($A43,,12,0)),"    -",VLOOKUP($A43,,12,0)),VLOOKUP($A43,,13,0)))</f>
        <v/>
      </c>
      <c r="H43" s="208" t="str">
        <f aca="false">IF(A43="","x",IF(ISERROR(VLOOKUP($A43,,14,0)),IF(ISERROR(VLOOKUP($A43,,13,0)),"x",VLOOKUP($A43,,13,0)),VLOOKUP($A43,,14,0)))</f>
        <v>x</v>
      </c>
      <c r="I43" s="227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8"/>
      <c r="M43" s="228"/>
      <c r="N43" s="228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9" t="n">
        <f aca="false">IF(ISERROR(R43*J43),0,R43*J43)</f>
        <v>0</v>
      </c>
      <c r="V43" s="216" t="n">
        <v>0</v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C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23" t="str">
        <f aca="false">IF(ISERROR(VLOOKUP($A44,,2,0)),IF(ISERROR(VLOOKUP($A44,,1,0)),"",VLOOKUP($A44,,1,0)),VLOOKUP($A44,,2,0))</f>
        <v/>
      </c>
      <c r="E44" s="224" t="n">
        <f aca="false">IF(D44="",,VLOOKUP(D44,D$22:D43,1,0))</f>
        <v>0</v>
      </c>
      <c r="F44" s="231" t="n">
        <f aca="false">($B44*$B$7+$C44*$C$7)/100</f>
        <v>0</v>
      </c>
      <c r="G44" s="226" t="str">
        <f aca="false">IF(A44="","",IF(ISERROR(VLOOKUP($A44,,13,0)),IF(ISERROR(VLOOKUP($A44,,12,0)),"    -",VLOOKUP($A44,,12,0)),VLOOKUP($A44,,13,0)))</f>
        <v/>
      </c>
      <c r="H44" s="208" t="str">
        <f aca="false">IF(A44="","x",IF(ISERROR(VLOOKUP($A44,,14,0)),IF(ISERROR(VLOOKUP($A44,,13,0)),"x",VLOOKUP($A44,,13,0)),VLOOKUP($A44,,14,0)))</f>
        <v>x</v>
      </c>
      <c r="I44" s="227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8"/>
      <c r="M44" s="228"/>
      <c r="N44" s="228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9" t="n">
        <f aca="false">IF(ISERROR(R44*J44),0,R44*J44)</f>
        <v>0</v>
      </c>
      <c r="V44" s="216" t="n">
        <v>0</v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C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23" t="str">
        <f aca="false">IF(ISERROR(VLOOKUP($A45,,2,0)),IF(ISERROR(VLOOKUP($A45,,1,0)),"",VLOOKUP($A45,,1,0)),VLOOKUP($A45,,2,0))</f>
        <v/>
      </c>
      <c r="E45" s="224" t="n">
        <f aca="false">IF(D45="",,VLOOKUP(D45,D$22:D44,1,0))</f>
        <v>0</v>
      </c>
      <c r="F45" s="231" t="n">
        <f aca="false">($B45*$B$7+$C45*$C$7)/100</f>
        <v>0</v>
      </c>
      <c r="G45" s="226" t="str">
        <f aca="false">IF(A45="","",IF(ISERROR(VLOOKUP($A45,,13,0)),IF(ISERROR(VLOOKUP($A45,,12,0)),"    -",VLOOKUP($A45,,12,0)),VLOOKUP($A45,,13,0)))</f>
        <v/>
      </c>
      <c r="H45" s="208" t="str">
        <f aca="false">IF(A45="","x",IF(ISERROR(VLOOKUP($A45,,14,0)),IF(ISERROR(VLOOKUP($A45,,13,0)),"x",VLOOKUP($A45,,13,0)),VLOOKUP($A45,,14,0)))</f>
        <v>x</v>
      </c>
      <c r="I45" s="227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8"/>
      <c r="M45" s="228"/>
      <c r="N45" s="228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9" t="n">
        <f aca="false">IF(ISERROR(R45*J45),0,R45*J45)</f>
        <v>0</v>
      </c>
      <c r="V45" s="216" t="n">
        <v>0</v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C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23" t="str">
        <f aca="false">IF(ISERROR(VLOOKUP($A46,,2,0)),IF(ISERROR(VLOOKUP($A46,,1,0)),"",VLOOKUP($A46,,1,0)),VLOOKUP($A46,,2,0))</f>
        <v/>
      </c>
      <c r="E46" s="224" t="n">
        <f aca="false">IF(D46="",,VLOOKUP(D46,D$22:D39,1,0))</f>
        <v>0</v>
      </c>
      <c r="F46" s="231" t="n">
        <f aca="false">($B46*$B$7+$C46*$C$7)/100</f>
        <v>0</v>
      </c>
      <c r="G46" s="226" t="str">
        <f aca="false">IF(A46="","",IF(ISERROR(VLOOKUP($A46,,13,0)),IF(ISERROR(VLOOKUP($A46,,12,0)),"    -",VLOOKUP($A46,,12,0)),VLOOKUP($A46,,13,0)))</f>
        <v/>
      </c>
      <c r="H46" s="208" t="str">
        <f aca="false">IF(A46="","x",IF(ISERROR(VLOOKUP($A46,,14,0)),IF(ISERROR(VLOOKUP($A46,,13,0)),"x",VLOOKUP($A46,,13,0)),VLOOKUP($A46,,14,0)))</f>
        <v>x</v>
      </c>
      <c r="I46" s="227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8"/>
      <c r="M46" s="228"/>
      <c r="N46" s="228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9" t="n">
        <f aca="false">IF(ISERROR(R46*J46),0,R46*J46)</f>
        <v>0</v>
      </c>
      <c r="V46" s="216" t="n">
        <v>0</v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C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23" t="str">
        <f aca="false">IF(ISERROR(VLOOKUP($A47,,2,0)),IF(ISERROR(VLOOKUP($A47,,1,0)),"",VLOOKUP($A47,,1,0)),VLOOKUP($A47,,2,0))</f>
        <v/>
      </c>
      <c r="E47" s="224" t="n">
        <f aca="false">IF(D47="",,VLOOKUP(D47,D$22:D39,1,0))</f>
        <v>0</v>
      </c>
      <c r="F47" s="231" t="n">
        <f aca="false">($B47*$B$7+$C47*$C$7)/100</f>
        <v>0</v>
      </c>
      <c r="G47" s="226" t="str">
        <f aca="false">IF(A47="","",IF(ISERROR(VLOOKUP($A47,,13,0)),IF(ISERROR(VLOOKUP($A47,,12,0)),"    -",VLOOKUP($A47,,12,0)),VLOOKUP($A47,,13,0)))</f>
        <v/>
      </c>
      <c r="H47" s="208" t="str">
        <f aca="false">IF(A47="","x",IF(ISERROR(VLOOKUP($A47,,14,0)),IF(ISERROR(VLOOKUP($A47,,13,0)),"x",VLOOKUP($A47,,13,0)),VLOOKUP($A47,,14,0)))</f>
        <v>x</v>
      </c>
      <c r="I47" s="227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8"/>
      <c r="M47" s="228"/>
      <c r="N47" s="228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9" t="n">
        <f aca="false">IF(ISERROR(R47*J47),0,R47*J47)</f>
        <v>0</v>
      </c>
      <c r="V47" s="216" t="n">
        <v>0</v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C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23" t="str">
        <f aca="false">IF(ISERROR(VLOOKUP($A48,,2,0)),IF(ISERROR(VLOOKUP($A48,,1,0)),"",VLOOKUP($A48,,1,0)),VLOOKUP($A48,,2,0))</f>
        <v/>
      </c>
      <c r="E48" s="224" t="n">
        <f aca="false">IF(D48="",,VLOOKUP(D48,D$22:D40,1,0))</f>
        <v>0</v>
      </c>
      <c r="F48" s="231" t="n">
        <f aca="false">($B48*$B$7+$C48*$C$7)/100</f>
        <v>0</v>
      </c>
      <c r="G48" s="226" t="str">
        <f aca="false">IF(A48="","",IF(ISERROR(VLOOKUP($A48,,13,0)),IF(ISERROR(VLOOKUP($A48,,12,0)),"    -",VLOOKUP($A48,,12,0)),VLOOKUP($A48,,13,0)))</f>
        <v/>
      </c>
      <c r="H48" s="208" t="str">
        <f aca="false">IF(A48="","x",IF(ISERROR(VLOOKUP($A48,,14,0)),IF(ISERROR(VLOOKUP($A48,,13,0)),"x",VLOOKUP($A48,,13,0)),VLOOKUP($A48,,14,0)))</f>
        <v>x</v>
      </c>
      <c r="I48" s="227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8"/>
      <c r="M48" s="228"/>
      <c r="N48" s="228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9" t="n">
        <f aca="false">IF(ISERROR(R48*J48),0,R48*J48)</f>
        <v>0</v>
      </c>
      <c r="V48" s="216" t="n">
        <v>0</v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C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23" t="str">
        <f aca="false">IF(ISERROR(VLOOKUP($A49,,2,0)),IF(ISERROR(VLOOKUP($A49,,1,0)),"",VLOOKUP($A49,,1,0)),VLOOKUP($A49,,2,0))</f>
        <v/>
      </c>
      <c r="E49" s="224" t="n">
        <f aca="false">IF(D49="",,VLOOKUP(D49,D$22:D48,1,0))</f>
        <v>0</v>
      </c>
      <c r="F49" s="231" t="n">
        <f aca="false">($B49*$B$7+$C49*$C$7)/100</f>
        <v>0</v>
      </c>
      <c r="G49" s="226" t="str">
        <f aca="false">IF(A49="","",IF(ISERROR(VLOOKUP($A49,,13,0)),IF(ISERROR(VLOOKUP($A49,,12,0)),"    -",VLOOKUP($A49,,12,0)),VLOOKUP($A49,,13,0)))</f>
        <v/>
      </c>
      <c r="H49" s="208" t="str">
        <f aca="false">IF(A49="","x",IF(ISERROR(VLOOKUP($A49,,14,0)),IF(ISERROR(VLOOKUP($A49,,13,0)),"x",VLOOKUP($A49,,13,0)),VLOOKUP($A49,,14,0)))</f>
        <v>x</v>
      </c>
      <c r="I49" s="227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8"/>
      <c r="M49" s="228"/>
      <c r="N49" s="228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9" t="n">
        <f aca="false">IF(ISERROR(R49*J49),0,R49*J49)</f>
        <v>0</v>
      </c>
      <c r="V49" s="216" t="n">
        <v>0</v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C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23" t="str">
        <f aca="false">IF(ISERROR(VLOOKUP($A50,,2,0)),IF(ISERROR(VLOOKUP($A50,,1,0)),"",VLOOKUP($A50,,1,0)),VLOOKUP($A50,,2,0))</f>
        <v/>
      </c>
      <c r="E50" s="224" t="n">
        <f aca="false">IF(D50="",,VLOOKUP(D50,D$22:D49,1,0))</f>
        <v>0</v>
      </c>
      <c r="F50" s="231" t="n">
        <f aca="false">($B50*$B$7+$C50*$C$7)/100</f>
        <v>0</v>
      </c>
      <c r="G50" s="226" t="str">
        <f aca="false">IF(A50="","",IF(ISERROR(VLOOKUP($A50,,13,0)),IF(ISERROR(VLOOKUP($A50,,12,0)),"    -",VLOOKUP($A50,,12,0)),VLOOKUP($A50,,13,0)))</f>
        <v/>
      </c>
      <c r="H50" s="208" t="str">
        <f aca="false">IF(A50="","x",IF(ISERROR(VLOOKUP($A50,,14,0)),IF(ISERROR(VLOOKUP($A50,,13,0)),"x",VLOOKUP($A50,,13,0)),VLOOKUP($A50,,14,0)))</f>
        <v>x</v>
      </c>
      <c r="I50" s="227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8"/>
      <c r="M50" s="228"/>
      <c r="N50" s="228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9" t="n">
        <f aca="false">IF(ISERROR(R50*J50),0,R50*J50)</f>
        <v>0</v>
      </c>
      <c r="V50" s="216" t="n">
        <v>0</v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C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23" t="str">
        <f aca="false">IF(ISERROR(VLOOKUP($A51,,2,0)),IF(ISERROR(VLOOKUP($A51,,1,0)),"",VLOOKUP($A51,,1,0)),VLOOKUP($A51,,2,0))</f>
        <v/>
      </c>
      <c r="E51" s="224" t="n">
        <f aca="false">IF(D51="",,VLOOKUP(D51,D$22:D50,1,0))</f>
        <v>0</v>
      </c>
      <c r="F51" s="231" t="n">
        <f aca="false">($B51*$B$7+$C51*$C$7)/100</f>
        <v>0</v>
      </c>
      <c r="G51" s="226" t="str">
        <f aca="false">IF(A51="","",IF(ISERROR(VLOOKUP($A51,,13,0)),IF(ISERROR(VLOOKUP($A51,,12,0)),"    -",VLOOKUP($A51,,12,0)),VLOOKUP($A51,,13,0)))</f>
        <v/>
      </c>
      <c r="H51" s="208" t="str">
        <f aca="false">IF(A51="","x",IF(ISERROR(VLOOKUP($A51,,14,0)),IF(ISERROR(VLOOKUP($A51,,13,0)),"x",VLOOKUP($A51,,13,0)),VLOOKUP($A51,,14,0)))</f>
        <v>x</v>
      </c>
      <c r="I51" s="227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8"/>
      <c r="M51" s="228"/>
      <c r="N51" s="228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9" t="n">
        <f aca="false">IF(ISERROR(R51*J51),0,R51*J51)</f>
        <v>0</v>
      </c>
      <c r="V51" s="216" t="n">
        <v>0</v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C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23" t="str">
        <f aca="false">IF(ISERROR(VLOOKUP($A52,,2,0)),IF(ISERROR(VLOOKUP($A52,,1,0)),"",VLOOKUP($A52,,1,0)),VLOOKUP($A52,,2,0))</f>
        <v/>
      </c>
      <c r="E52" s="224" t="n">
        <f aca="false">IF(D52="",,VLOOKUP(D52,D$22:D51,1,0))</f>
        <v>0</v>
      </c>
      <c r="F52" s="231" t="n">
        <f aca="false">($B52*$B$7+$C52*$C$7)/100</f>
        <v>0</v>
      </c>
      <c r="G52" s="226" t="str">
        <f aca="false">IF(A52="","",IF(ISERROR(VLOOKUP($A52,,13,0)),IF(ISERROR(VLOOKUP($A52,,12,0)),"    -",VLOOKUP($A52,,12,0)),VLOOKUP($A52,,13,0)))</f>
        <v/>
      </c>
      <c r="H52" s="208" t="str">
        <f aca="false">IF(A52="","x",IF(ISERROR(VLOOKUP($A52,,14,0)),IF(ISERROR(VLOOKUP($A52,,13,0)),"x",VLOOKUP($A52,,13,0)),VLOOKUP($A52,,14,0)))</f>
        <v>x</v>
      </c>
      <c r="I52" s="227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8"/>
      <c r="M52" s="228"/>
      <c r="N52" s="228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9" t="n">
        <f aca="false">IF(ISERROR(R52*J52),0,R52*J52)</f>
        <v>0</v>
      </c>
      <c r="V52" s="216" t="n">
        <v>0</v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C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23" t="str">
        <f aca="false">IF(ISERROR(VLOOKUP($A53,,2,0)),IF(ISERROR(VLOOKUP($A53,,1,0)),"",VLOOKUP($A53,,1,0)),VLOOKUP($A53,,2,0))</f>
        <v/>
      </c>
      <c r="E53" s="224" t="n">
        <f aca="false">IF(D53="",,VLOOKUP(D53,D$22:D52,1,0))</f>
        <v>0</v>
      </c>
      <c r="F53" s="231" t="n">
        <f aca="false">($B53*$B$7+$C53*$C$7)/100</f>
        <v>0</v>
      </c>
      <c r="G53" s="226" t="str">
        <f aca="false">IF(A53="","",IF(ISERROR(VLOOKUP($A53,,13,0)),IF(ISERROR(VLOOKUP($A53,,12,0)),"    -",VLOOKUP($A53,,12,0)),VLOOKUP($A53,,13,0)))</f>
        <v/>
      </c>
      <c r="H53" s="208" t="str">
        <f aca="false">IF(A53="","x",IF(ISERROR(VLOOKUP($A53,,14,0)),IF(ISERROR(VLOOKUP($A53,,13,0)),"x",VLOOKUP($A53,,13,0)),VLOOKUP($A53,,14,0)))</f>
        <v>x</v>
      </c>
      <c r="I53" s="227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8"/>
      <c r="M53" s="228"/>
      <c r="N53" s="228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9" t="n">
        <f aca="false">IF(ISERROR(R53*J53),0,R53*J53)</f>
        <v>0</v>
      </c>
      <c r="V53" s="216" t="n">
        <v>0</v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C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23" t="str">
        <f aca="false">IF(ISERROR(VLOOKUP($A54,,2,0)),IF(ISERROR(VLOOKUP($A54,,1,0)),"",VLOOKUP($A54,,1,0)),VLOOKUP($A54,,2,0))</f>
        <v/>
      </c>
      <c r="E54" s="224" t="n">
        <f aca="false">IF(D54="",,VLOOKUP(D54,D$22:D53,1,0))</f>
        <v>0</v>
      </c>
      <c r="F54" s="231" t="n">
        <f aca="false">($B54*$B$7+$C54*$C$7)/100</f>
        <v>0</v>
      </c>
      <c r="G54" s="226" t="str">
        <f aca="false">IF(A54="","",IF(ISERROR(VLOOKUP($A54,,13,0)),IF(ISERROR(VLOOKUP($A54,,12,0)),"    -",VLOOKUP($A54,,12,0)),VLOOKUP($A54,,13,0)))</f>
        <v/>
      </c>
      <c r="H54" s="208" t="str">
        <f aca="false">IF(A54="","x",IF(ISERROR(VLOOKUP($A54,,14,0)),IF(ISERROR(VLOOKUP($A54,,13,0)),"x",VLOOKUP($A54,,13,0)),VLOOKUP($A54,,14,0)))</f>
        <v>x</v>
      </c>
      <c r="I54" s="227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8"/>
      <c r="M54" s="228"/>
      <c r="N54" s="228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9" t="n">
        <f aca="false">IF(ISERROR(R54*J54),0,R54*J54)</f>
        <v>0</v>
      </c>
      <c r="V54" s="216" t="n">
        <v>0</v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C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23" t="str">
        <f aca="false">IF(ISERROR(VLOOKUP($A55,,2,0)),IF(ISERROR(VLOOKUP($A55,,1,0)),"",VLOOKUP($A55,,1,0)),VLOOKUP($A55,,2,0))</f>
        <v/>
      </c>
      <c r="E55" s="224" t="n">
        <f aca="false">IF(D55="",,VLOOKUP(D55,D$22:D54,1,0))</f>
        <v>0</v>
      </c>
      <c r="F55" s="231" t="n">
        <f aca="false">($B55*$B$7+$C55*$C$7)/100</f>
        <v>0</v>
      </c>
      <c r="G55" s="226" t="str">
        <f aca="false">IF(A55="","",IF(ISERROR(VLOOKUP($A55,,13,0)),IF(ISERROR(VLOOKUP($A55,,12,0)),"    -",VLOOKUP($A55,,12,0)),VLOOKUP($A55,,13,0)))</f>
        <v/>
      </c>
      <c r="H55" s="208" t="str">
        <f aca="false">IF(A55="","x",IF(ISERROR(VLOOKUP($A55,,14,0)),IF(ISERROR(VLOOKUP($A55,,13,0)),"x",VLOOKUP($A55,,13,0)),VLOOKUP($A55,,14,0)))</f>
        <v>x</v>
      </c>
      <c r="I55" s="227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8"/>
      <c r="M55" s="228"/>
      <c r="N55" s="228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9" t="n">
        <f aca="false">IF(ISERROR(R55*J55),0,R55*J55)</f>
        <v>0</v>
      </c>
      <c r="V55" s="216" t="n">
        <v>0</v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C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23" t="str">
        <f aca="false">IF(ISERROR(VLOOKUP($A56,,2,0)),IF(ISERROR(VLOOKUP($A56,,1,0)),"",VLOOKUP($A56,,1,0)),VLOOKUP($A56,,2,0))</f>
        <v/>
      </c>
      <c r="E56" s="224" t="n">
        <f aca="false">IF(D56="",,VLOOKUP(D56,D$22:D55,1,0))</f>
        <v>0</v>
      </c>
      <c r="F56" s="231" t="n">
        <f aca="false">($B56*$B$7+$C56*$C$7)/100</f>
        <v>0</v>
      </c>
      <c r="G56" s="226" t="str">
        <f aca="false">IF(A56="","",IF(ISERROR(VLOOKUP($A56,,13,0)),IF(ISERROR(VLOOKUP($A56,,12,0)),"    -",VLOOKUP($A56,,12,0)),VLOOKUP($A56,,13,0)))</f>
        <v/>
      </c>
      <c r="H56" s="208" t="str">
        <f aca="false">IF(A56="","x",IF(ISERROR(VLOOKUP($A56,,14,0)),IF(ISERROR(VLOOKUP($A56,,13,0)),"x",VLOOKUP($A56,,13,0)),VLOOKUP($A56,,14,0)))</f>
        <v>x</v>
      </c>
      <c r="I56" s="227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8"/>
      <c r="M56" s="228"/>
      <c r="N56" s="228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9" t="n">
        <f aca="false">IF(ISERROR(R56*J56),0,R56*J56)</f>
        <v>0</v>
      </c>
      <c r="V56" s="216" t="n">
        <v>0</v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C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23" t="str">
        <f aca="false">IF(ISERROR(VLOOKUP($A57,,2,0)),IF(ISERROR(VLOOKUP($A57,,1,0)),"",VLOOKUP($A57,,1,0)),VLOOKUP($A57,,2,0))</f>
        <v/>
      </c>
      <c r="E57" s="224" t="n">
        <f aca="false">IF(D57="",,VLOOKUP(D57,D$21:D56,1,0))</f>
        <v>0</v>
      </c>
      <c r="F57" s="231" t="n">
        <f aca="false">($B57*$B$7+$C57*$C$7)/100</f>
        <v>0</v>
      </c>
      <c r="G57" s="226" t="str">
        <f aca="false">IF(A57="","",IF(ISERROR(VLOOKUP($A57,,13,0)),IF(ISERROR(VLOOKUP($A57,,12,0)),"    -",VLOOKUP($A57,,12,0)),VLOOKUP($A57,,13,0)))</f>
        <v/>
      </c>
      <c r="H57" s="208" t="str">
        <f aca="false">IF(A57="","x",IF(ISERROR(VLOOKUP($A57,,14,0)),IF(ISERROR(VLOOKUP($A57,,13,0)),"x",VLOOKUP($A57,,13,0)),VLOOKUP($A57,,14,0)))</f>
        <v>x</v>
      </c>
      <c r="I57" s="227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8"/>
      <c r="M57" s="228"/>
      <c r="N57" s="228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9" t="n">
        <f aca="false">IF(ISERROR(R57*J57),0,R57*J57)</f>
        <v>0</v>
      </c>
      <c r="V57" s="216" t="n">
        <v>0</v>
      </c>
      <c r="W57" s="217"/>
      <c r="X57" s="232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C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23" t="str">
        <f aca="false">IF(ISERROR(VLOOKUP($A58,,2,0)),IF(ISERROR(VLOOKUP($A58,,1,0)),"",VLOOKUP($A58,,1,0)),VLOOKUP($A58,,2,0))</f>
        <v/>
      </c>
      <c r="E58" s="224" t="n">
        <f aca="false">IF(D58="",,VLOOKUP(D58,D$22:D57,1,0))</f>
        <v>0</v>
      </c>
      <c r="F58" s="231" t="n">
        <f aca="false">($B58*$B$7+$C58*$C$7)/100</f>
        <v>0</v>
      </c>
      <c r="G58" s="226" t="str">
        <f aca="false">IF(A58="","",IF(ISERROR(VLOOKUP($A58,,13,0)),IF(ISERROR(VLOOKUP($A58,,12,0)),"    -",VLOOKUP($A58,,12,0)),VLOOKUP($A58,,13,0)))</f>
        <v/>
      </c>
      <c r="H58" s="208" t="str">
        <f aca="false">IF(A58="","x",IF(ISERROR(VLOOKUP($A58,,14,0)),IF(ISERROR(VLOOKUP($A58,,13,0)),"x",VLOOKUP($A58,,13,0)),VLOOKUP($A58,,14,0)))</f>
        <v>x</v>
      </c>
      <c r="I58" s="227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8"/>
      <c r="M58" s="228"/>
      <c r="N58" s="228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9" t="n">
        <f aca="false">IF(ISERROR(R58*J58),0,R58*J58)</f>
        <v>0</v>
      </c>
      <c r="V58" s="216" t="n">
        <v>0</v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C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23" t="str">
        <f aca="false">IF(ISERROR(VLOOKUP($A59,,2,0)),IF(ISERROR(VLOOKUP($A59,,1,0)),"",VLOOKUP($A59,,1,0)),VLOOKUP($A59,,2,0))</f>
        <v/>
      </c>
      <c r="E59" s="224" t="n">
        <f aca="false">IF(D59="",,VLOOKUP(D59,D$22:D58,1,0))</f>
        <v>0</v>
      </c>
      <c r="F59" s="231" t="n">
        <f aca="false">($B59*$B$7+$C59*$C$7)/100</f>
        <v>0</v>
      </c>
      <c r="G59" s="226" t="str">
        <f aca="false">IF(A59="","",IF(ISERROR(VLOOKUP($A59,,13,0)),IF(ISERROR(VLOOKUP($A59,,12,0)),"    -",VLOOKUP($A59,,12,0)),VLOOKUP($A59,,13,0)))</f>
        <v/>
      </c>
      <c r="H59" s="208" t="str">
        <f aca="false">IF(A59="","x",IF(ISERROR(VLOOKUP($A59,,14,0)),IF(ISERROR(VLOOKUP($A59,,13,0)),"x",VLOOKUP($A59,,13,0)),VLOOKUP($A59,,14,0)))</f>
        <v>x</v>
      </c>
      <c r="I59" s="227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3"/>
      <c r="M59" s="233"/>
      <c r="N59" s="233"/>
      <c r="O59" s="213"/>
      <c r="P59" s="234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9" t="n">
        <f aca="false">IF(ISERROR(R59*J59),0,R59*J59)</f>
        <v>0</v>
      </c>
      <c r="V59" s="216" t="n">
        <v>0</v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C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23" t="str">
        <f aca="false">IF(ISERROR(VLOOKUP($A60,,2,0)),IF(ISERROR(VLOOKUP($A60,,1,0)),"",VLOOKUP($A60,,1,0)),VLOOKUP($A60,,2,0))</f>
        <v/>
      </c>
      <c r="E60" s="224" t="n">
        <f aca="false">IF(D60="",,VLOOKUP(D60,D$22:D59,1,0))</f>
        <v>0</v>
      </c>
      <c r="F60" s="231" t="n">
        <f aca="false">($B60*$B$7+$C60*$C$7)/100</f>
        <v>0</v>
      </c>
      <c r="G60" s="226" t="str">
        <f aca="false">IF(A60="","",IF(ISERROR(VLOOKUP($A60,,13,0)),IF(ISERROR(VLOOKUP($A60,,12,0)),"    -",VLOOKUP($A60,,12,0)),VLOOKUP($A60,,13,0)))</f>
        <v/>
      </c>
      <c r="H60" s="208" t="str">
        <f aca="false">IF(A60="","x",IF(ISERROR(VLOOKUP($A60,,14,0)),IF(ISERROR(VLOOKUP($A60,,13,0)),"x",VLOOKUP($A60,,13,0)),VLOOKUP($A60,,14,0)))</f>
        <v>x</v>
      </c>
      <c r="I60" s="227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3"/>
      <c r="M60" s="233"/>
      <c r="N60" s="233"/>
      <c r="O60" s="213"/>
      <c r="P60" s="234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9" t="n">
        <f aca="false">IF(ISERROR(R60*J60),0,R60*J60)</f>
        <v>0</v>
      </c>
      <c r="V60" s="216" t="n">
        <v>0</v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C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23" t="str">
        <f aca="false">IF(ISERROR(VLOOKUP($A61,,2,0)),IF(ISERROR(VLOOKUP($A61,,1,0)),"",VLOOKUP($A61,,1,0)),VLOOKUP($A61,,2,0))</f>
        <v/>
      </c>
      <c r="E61" s="224" t="n">
        <f aca="false">IF(D61="",,VLOOKUP(D61,D$22:D60,1,0))</f>
        <v>0</v>
      </c>
      <c r="F61" s="231" t="n">
        <f aca="false">($B61*$B$7+$C61*$C$7)/100</f>
        <v>0</v>
      </c>
      <c r="G61" s="226" t="str">
        <f aca="false">IF(A61="","",IF(ISERROR(VLOOKUP($A61,,13,0)),IF(ISERROR(VLOOKUP($A61,,12,0)),"    -",VLOOKUP($A61,,12,0)),VLOOKUP($A61,,13,0)))</f>
        <v/>
      </c>
      <c r="H61" s="208" t="str">
        <f aca="false">IF(A61="","x",IF(ISERROR(VLOOKUP($A61,,14,0)),IF(ISERROR(VLOOKUP($A61,,13,0)),"x",VLOOKUP($A61,,13,0)),VLOOKUP($A61,,14,0)))</f>
        <v>x</v>
      </c>
      <c r="I61" s="227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8"/>
      <c r="M61" s="228"/>
      <c r="N61" s="228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9" t="n">
        <f aca="false">IF(ISERROR(R61*J61),0,R61*J61)</f>
        <v>0</v>
      </c>
      <c r="V61" s="216" t="n">
        <v>0</v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C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23" t="str">
        <f aca="false">IF(ISERROR(VLOOKUP($A62,,2,0)),IF(ISERROR(VLOOKUP($A62,,1,0)),"",VLOOKUP($A62,,1,0)),VLOOKUP($A62,,2,0))</f>
        <v/>
      </c>
      <c r="E62" s="224" t="n">
        <f aca="false">IF(D62="",,VLOOKUP(D62,D$22:D61,1,0))</f>
        <v>0</v>
      </c>
      <c r="F62" s="231" t="n">
        <f aca="false">($B62*$B$7+$C62*$C$7)/100</f>
        <v>0</v>
      </c>
      <c r="G62" s="226" t="str">
        <f aca="false">IF(A62="","",IF(ISERROR(VLOOKUP($A62,,13,0)),IF(ISERROR(VLOOKUP($A62,,12,0)),"    -",VLOOKUP($A62,,12,0)),VLOOKUP($A62,,13,0)))</f>
        <v/>
      </c>
      <c r="H62" s="208" t="str">
        <f aca="false">IF(A62="","x",IF(ISERROR(VLOOKUP($A62,,14,0)),IF(ISERROR(VLOOKUP($A62,,13,0)),"x",VLOOKUP($A62,,13,0)),VLOOKUP($A62,,14,0)))</f>
        <v>x</v>
      </c>
      <c r="I62" s="227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8"/>
      <c r="M62" s="228"/>
      <c r="N62" s="228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9" t="n">
        <f aca="false">IF(ISERROR(R62*J62),0,R62*J62)</f>
        <v>0</v>
      </c>
      <c r="V62" s="216" t="n">
        <v>0</v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C62" s="9" t="str">
        <f aca="false">IF(A62="","",1)</f>
        <v/>
      </c>
    </row>
    <row r="63" customFormat="false" ht="12.75" hidden="false" customHeight="false" outlineLevel="0" collapsed="false">
      <c r="A63" s="220"/>
      <c r="B63" s="221"/>
      <c r="C63" s="222"/>
      <c r="D63" s="223" t="str">
        <f aca="false">IF(ISERROR(VLOOKUP($A63,,2,0)),IF(ISERROR(VLOOKUP($A63,,1,0)),"",VLOOKUP($A63,,1,0)),VLOOKUP($A63,,2,0))</f>
        <v/>
      </c>
      <c r="E63" s="224" t="n">
        <f aca="false">IF(D63="",,VLOOKUP(D63,D$22:D62,1,0))</f>
        <v>0</v>
      </c>
      <c r="F63" s="231" t="n">
        <f aca="false">($B63*$B$7+$C63*$C$7)/100</f>
        <v>0</v>
      </c>
      <c r="G63" s="226" t="str">
        <f aca="false">IF(A63="","",IF(ISERROR(VLOOKUP($A63,,13,0)),IF(ISERROR(VLOOKUP($A63,,12,0)),"    -",VLOOKUP($A63,,12,0)),VLOOKUP($A63,,13,0)))</f>
        <v/>
      </c>
      <c r="H63" s="208" t="str">
        <f aca="false">IF(A63="","x",IF(ISERROR(VLOOKUP($A63,,14,0)),IF(ISERROR(VLOOKUP($A63,,13,0)),"x",VLOOKUP($A63,,13,0)),VLOOKUP($A63,,14,0)))</f>
        <v>x</v>
      </c>
      <c r="I63" s="227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8"/>
      <c r="M63" s="228"/>
      <c r="N63" s="228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9" t="n">
        <f aca="false">IF(ISERROR(R63*J63),0,R63*J63)</f>
        <v>0</v>
      </c>
      <c r="V63" s="216" t="n">
        <v>0</v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C63" s="9" t="str">
        <f aca="false">IF(A63="","",1)</f>
        <v/>
      </c>
    </row>
    <row r="64" customFormat="false" ht="12.75" hidden="false" customHeight="true" outlineLevel="0" collapsed="false">
      <c r="A64" s="220"/>
      <c r="B64" s="221"/>
      <c r="C64" s="222"/>
      <c r="D64" s="223" t="str">
        <f aca="false">IF(ISERROR(VLOOKUP($A64,,2,0)),IF(ISERROR(VLOOKUP($A64,,1,0)),"",VLOOKUP($A64,,1,0)),VLOOKUP($A64,,2,0))</f>
        <v/>
      </c>
      <c r="E64" s="224" t="n">
        <f aca="false">IF(D64="",,VLOOKUP(D64,D$22:D52,1,0))</f>
        <v>0</v>
      </c>
      <c r="F64" s="231" t="n">
        <f aca="false">($B64*$B$7+$C64*$C$7)/100</f>
        <v>0</v>
      </c>
      <c r="G64" s="226" t="str">
        <f aca="false">IF(A64="","",IF(ISERROR(VLOOKUP($A64,,13,0)),IF(ISERROR(VLOOKUP($A64,,12,0)),"    -",VLOOKUP($A64,,12,0)),VLOOKUP($A64,,13,0)))</f>
        <v/>
      </c>
      <c r="H64" s="208" t="str">
        <f aca="false">IF(A64="","x",IF(ISERROR(VLOOKUP($A64,,14,0)),IF(ISERROR(VLOOKUP($A64,,13,0)),"x",VLOOKUP($A64,,13,0)),VLOOKUP($A64,,14,0)))</f>
        <v>x</v>
      </c>
      <c r="I64" s="227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8"/>
      <c r="M64" s="228"/>
      <c r="N64" s="228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9" t="n">
        <f aca="false">IF(ISERROR(R64*J64),0,R64*J64)</f>
        <v>0</v>
      </c>
      <c r="V64" s="216" t="n">
        <v>0</v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C64" s="9" t="str">
        <f aca="false">IF(A64="","",1)</f>
        <v/>
      </c>
    </row>
    <row r="65" customFormat="false" ht="12.75" hidden="false" customHeight="false" outlineLevel="0" collapsed="false">
      <c r="A65" s="220"/>
      <c r="B65" s="221"/>
      <c r="C65" s="222"/>
      <c r="D65" s="223" t="str">
        <f aca="false">IF(ISERROR(VLOOKUP($A65,,2,0)),IF(ISERROR(VLOOKUP($A65,,1,0)),"",VLOOKUP($A65,,1,0)),VLOOKUP($A65,,2,0))</f>
        <v/>
      </c>
      <c r="E65" s="224" t="n">
        <f aca="false">IF(D65="",,VLOOKUP(D65,D$22:D53,1,0))</f>
        <v>0</v>
      </c>
      <c r="F65" s="231" t="n">
        <f aca="false">($B65*$B$7+$C65*$C$7)/100</f>
        <v>0</v>
      </c>
      <c r="G65" s="226" t="str">
        <f aca="false">IF(A65="","",IF(ISERROR(VLOOKUP($A65,,13,0)),IF(ISERROR(VLOOKUP($A65,,12,0)),"    -",VLOOKUP($A65,,12,0)),VLOOKUP($A65,,13,0)))</f>
        <v/>
      </c>
      <c r="H65" s="208" t="str">
        <f aca="false">IF(A65="","x",IF(ISERROR(VLOOKUP($A65,,14,0)),IF(ISERROR(VLOOKUP($A65,,13,0)),"x",VLOOKUP($A65,,13,0)),VLOOKUP($A65,,14,0)))</f>
        <v>x</v>
      </c>
      <c r="I65" s="227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8"/>
      <c r="M65" s="228"/>
      <c r="N65" s="228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9" t="n">
        <f aca="false">IF(ISERROR(R65*J65),0,R65*J65)</f>
        <v>0</v>
      </c>
      <c r="V65" s="216" t="n">
        <v>0</v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C65" s="9" t="str">
        <f aca="false">IF(A65="","",1)</f>
        <v/>
      </c>
    </row>
    <row r="66" customFormat="false" ht="12.75" hidden="false" customHeight="false" outlineLevel="0" collapsed="false">
      <c r="A66" s="220"/>
      <c r="B66" s="221"/>
      <c r="C66" s="222"/>
      <c r="D66" s="223" t="str">
        <f aca="false">IF(ISERROR(VLOOKUP($A66,,2,0)),IF(ISERROR(VLOOKUP($A66,,1,0)),"",VLOOKUP($A66,,1,0)),VLOOKUP($A66,,2,0))</f>
        <v/>
      </c>
      <c r="E66" s="224" t="n">
        <f aca="false">IF(D66="",,VLOOKUP(D66,D$22:D51,1,0))</f>
        <v>0</v>
      </c>
      <c r="F66" s="231" t="n">
        <f aca="false">($B66*$B$7+$C66*$C$7)/100</f>
        <v>0</v>
      </c>
      <c r="G66" s="226" t="str">
        <f aca="false">IF(A66="","",IF(ISERROR(VLOOKUP($A66,,13,0)),IF(ISERROR(VLOOKUP($A66,,12,0)),"    -",VLOOKUP($A66,,12,0)),VLOOKUP($A66,,13,0)))</f>
        <v/>
      </c>
      <c r="H66" s="208" t="str">
        <f aca="false">IF(A66="","x",IF(ISERROR(VLOOKUP($A66,,14,0)),IF(ISERROR(VLOOKUP($A66,,13,0)),"x",VLOOKUP($A66,,13,0)),VLOOKUP($A66,,14,0)))</f>
        <v>x</v>
      </c>
      <c r="I66" s="227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8"/>
      <c r="M66" s="228"/>
      <c r="N66" s="228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9" t="n">
        <f aca="false">IF(ISERROR(R66*J66),0,R66*J66)</f>
        <v>0</v>
      </c>
      <c r="V66" s="216" t="n">
        <v>0</v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C66" s="9" t="str">
        <f aca="false">IF(A66="","",1)</f>
        <v/>
      </c>
    </row>
    <row r="67" customFormat="false" ht="12.75" hidden="false" customHeight="false" outlineLevel="0" collapsed="false">
      <c r="A67" s="220"/>
      <c r="B67" s="221"/>
      <c r="C67" s="222"/>
      <c r="D67" s="223" t="str">
        <f aca="false">IF(ISERROR(VLOOKUP($A67,,2,0)),IF(ISERROR(VLOOKUP($A67,,1,0)),"",VLOOKUP($A67,,1,0)),VLOOKUP($A67,,2,0))</f>
        <v/>
      </c>
      <c r="E67" s="224" t="n">
        <f aca="false">IF(D67="",,VLOOKUP(D67,D$22:D52,1,0))</f>
        <v>0</v>
      </c>
      <c r="F67" s="231" t="n">
        <f aca="false">($B67*$B$7+$C67*$C$7)/100</f>
        <v>0</v>
      </c>
      <c r="G67" s="226" t="str">
        <f aca="false">IF(A67="","",IF(ISERROR(VLOOKUP($A67,,13,0)),IF(ISERROR(VLOOKUP($A67,,12,0)),"    -",VLOOKUP($A67,,12,0)),VLOOKUP($A67,,13,0)))</f>
        <v/>
      </c>
      <c r="H67" s="208" t="str">
        <f aca="false">IF(A67="","x",IF(ISERROR(VLOOKUP($A67,,14,0)),IF(ISERROR(VLOOKUP($A67,,13,0)),"x",VLOOKUP($A67,,13,0)),VLOOKUP($A67,,14,0)))</f>
        <v>x</v>
      </c>
      <c r="I67" s="227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8"/>
      <c r="M67" s="228"/>
      <c r="N67" s="228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9" t="n">
        <f aca="false">IF(ISERROR(R67*J67),0,R67*J67)</f>
        <v>0</v>
      </c>
      <c r="V67" s="216" t="n">
        <v>0</v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C67" s="9" t="str">
        <f aca="false">IF(A67="","",1)</f>
        <v/>
      </c>
    </row>
    <row r="68" customFormat="false" ht="12.75" hidden="false" customHeight="false" outlineLevel="0" collapsed="false">
      <c r="A68" s="220"/>
      <c r="B68" s="221"/>
      <c r="C68" s="222"/>
      <c r="D68" s="223" t="str">
        <f aca="false">IF(ISERROR(VLOOKUP($A68,,2,0)),IF(ISERROR(VLOOKUP($A68,,1,0)),"",VLOOKUP($A68,,1,0)),VLOOKUP($A68,,2,0))</f>
        <v/>
      </c>
      <c r="E68" s="224" t="n">
        <f aca="false">IF(D68="",,VLOOKUP(D68,D$22:D53,1,0))</f>
        <v>0</v>
      </c>
      <c r="F68" s="231" t="n">
        <f aca="false">($B68*$B$7+$C68*$C$7)/100</f>
        <v>0</v>
      </c>
      <c r="G68" s="226" t="str">
        <f aca="false">IF(A68="","",IF(ISERROR(VLOOKUP($A68,,13,0)),IF(ISERROR(VLOOKUP($A68,,12,0)),"    -",VLOOKUP($A68,,12,0)),VLOOKUP($A68,,13,0)))</f>
        <v/>
      </c>
      <c r="H68" s="208" t="str">
        <f aca="false">IF(A68="","x",IF(ISERROR(VLOOKUP($A68,,14,0)),IF(ISERROR(VLOOKUP($A68,,13,0)),"x",VLOOKUP($A68,,13,0)),VLOOKUP($A68,,14,0)))</f>
        <v>x</v>
      </c>
      <c r="I68" s="227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8"/>
      <c r="M68" s="228"/>
      <c r="N68" s="228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9" t="n">
        <f aca="false">IF(ISERROR(R68*J68),0,R68*J68)</f>
        <v>0</v>
      </c>
      <c r="V68" s="216" t="n">
        <v>0</v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C68" s="9" t="str">
        <f aca="false">IF(A68="","",1)</f>
        <v/>
      </c>
    </row>
    <row r="69" customFormat="false" ht="12.75" hidden="false" customHeight="false" outlineLevel="0" collapsed="false">
      <c r="A69" s="220"/>
      <c r="B69" s="221"/>
      <c r="C69" s="222"/>
      <c r="D69" s="223" t="str">
        <f aca="false">IF(ISERROR(VLOOKUP($A69,,2,0)),IF(ISERROR(VLOOKUP($A69,,1,0)),"",VLOOKUP($A69,,1,0)),VLOOKUP($A69,,2,0))</f>
        <v/>
      </c>
      <c r="E69" s="224" t="n">
        <f aca="false">IF(D69="",,VLOOKUP(D69,D$22:D54,1,0))</f>
        <v>0</v>
      </c>
      <c r="F69" s="231" t="n">
        <f aca="false">($B69*$B$7+$C69*$C$7)/100</f>
        <v>0</v>
      </c>
      <c r="G69" s="226" t="str">
        <f aca="false">IF(A69="","",IF(ISERROR(VLOOKUP($A69,,13,0)),IF(ISERROR(VLOOKUP($A69,,12,0)),"    -",VLOOKUP($A69,,12,0)),VLOOKUP($A69,,13,0)))</f>
        <v/>
      </c>
      <c r="H69" s="208" t="str">
        <f aca="false">IF(A69="","x",IF(ISERROR(VLOOKUP($A69,,14,0)),IF(ISERROR(VLOOKUP($A69,,13,0)),"x",VLOOKUP($A69,,13,0)),VLOOKUP($A69,,14,0)))</f>
        <v>x</v>
      </c>
      <c r="I69" s="227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8"/>
      <c r="M69" s="228"/>
      <c r="N69" s="228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9" t="n">
        <f aca="false">IF(ISERROR(R69*J69),0,R69*J69)</f>
        <v>0</v>
      </c>
      <c r="V69" s="216" t="n">
        <v>0</v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C69" s="9" t="str">
        <f aca="false">IF(A69="","",1)</f>
        <v/>
      </c>
    </row>
    <row r="70" customFormat="false" ht="12.75" hidden="false" customHeight="false" outlineLevel="0" collapsed="false">
      <c r="A70" s="220"/>
      <c r="B70" s="221"/>
      <c r="C70" s="222"/>
      <c r="D70" s="223" t="str">
        <f aca="false">IF(ISERROR(VLOOKUP($A70,,2,0)),IF(ISERROR(VLOOKUP($A70,,1,0)),"",VLOOKUP($A70,,1,0)),VLOOKUP($A70,,2,0))</f>
        <v/>
      </c>
      <c r="E70" s="224" t="n">
        <f aca="false">IF(D70="",,VLOOKUP(D70,D$22:D55,1,0))</f>
        <v>0</v>
      </c>
      <c r="F70" s="231" t="n">
        <f aca="false">($B70*$B$7+$C70*$C$7)/100</f>
        <v>0</v>
      </c>
      <c r="G70" s="226" t="str">
        <f aca="false">IF(A70="","",IF(ISERROR(VLOOKUP($A70,,13,0)),IF(ISERROR(VLOOKUP($A70,,12,0)),"    -",VLOOKUP($A70,,12,0)),VLOOKUP($A70,,13,0)))</f>
        <v/>
      </c>
      <c r="H70" s="208" t="str">
        <f aca="false">IF(A70="","x",IF(ISERROR(VLOOKUP($A70,,14,0)),IF(ISERROR(VLOOKUP($A70,,13,0)),"x",VLOOKUP($A70,,13,0)),VLOOKUP($A70,,14,0)))</f>
        <v>x</v>
      </c>
      <c r="I70" s="227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8"/>
      <c r="M70" s="228"/>
      <c r="N70" s="228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9" t="n">
        <f aca="false">IF(ISERROR(R70*J70),0,R70*J70)</f>
        <v>0</v>
      </c>
      <c r="V70" s="216" t="n">
        <v>0</v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C70" s="9" t="str">
        <f aca="false">IF(A70="","",1)</f>
        <v/>
      </c>
    </row>
    <row r="71" customFormat="false" ht="12.75" hidden="false" customHeight="false" outlineLevel="0" collapsed="false">
      <c r="A71" s="220"/>
      <c r="B71" s="221"/>
      <c r="C71" s="222"/>
      <c r="D71" s="223" t="str">
        <f aca="false">IF(ISERROR(VLOOKUP($A71,,2,0)),IF(ISERROR(VLOOKUP($A71,,1,0)),"",VLOOKUP($A71,,1,0)),VLOOKUP($A71,,2,0))</f>
        <v/>
      </c>
      <c r="E71" s="224" t="n">
        <f aca="false">IF(D71="",,VLOOKUP(D71,D$22:D56,1,0))</f>
        <v>0</v>
      </c>
      <c r="F71" s="231" t="n">
        <f aca="false">($B71*$B$7+$C71*$C$7)/100</f>
        <v>0</v>
      </c>
      <c r="G71" s="226" t="str">
        <f aca="false">IF(A71="","",IF(ISERROR(VLOOKUP($A71,,13,0)),IF(ISERROR(VLOOKUP($A71,,12,0)),"    -",VLOOKUP($A71,,12,0)),VLOOKUP($A71,,13,0)))</f>
        <v/>
      </c>
      <c r="H71" s="208" t="str">
        <f aca="false">IF(A71="","x",IF(ISERROR(VLOOKUP($A71,,14,0)),IF(ISERROR(VLOOKUP($A71,,13,0)),"x",VLOOKUP($A71,,13,0)),VLOOKUP($A71,,14,0)))</f>
        <v>x</v>
      </c>
      <c r="I71" s="227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8"/>
      <c r="M71" s="228"/>
      <c r="N71" s="228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9" t="n">
        <f aca="false">IF(ISERROR(R71*J71),0,R71*J71)</f>
        <v>0</v>
      </c>
      <c r="V71" s="216" t="n">
        <v>0</v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C71" s="9" t="str">
        <f aca="false">IF(A71="","",1)</f>
        <v/>
      </c>
    </row>
    <row r="72" customFormat="false" ht="12.75" hidden="false" customHeight="false" outlineLevel="0" collapsed="false">
      <c r="A72" s="220"/>
      <c r="B72" s="221"/>
      <c r="C72" s="222"/>
      <c r="D72" s="223" t="str">
        <f aca="false">IF(ISERROR(VLOOKUP($A72,,2,0)),IF(ISERROR(VLOOKUP($A72,,1,0)),"",VLOOKUP($A72,,1,0)),VLOOKUP($A72,,2,0))</f>
        <v/>
      </c>
      <c r="E72" s="224" t="n">
        <f aca="false">IF(D72="",,VLOOKUP(D72,D$22:D57,1,0))</f>
        <v>0</v>
      </c>
      <c r="F72" s="231" t="n">
        <f aca="false">($B72*$B$7+$C72*$C$7)/100</f>
        <v>0</v>
      </c>
      <c r="G72" s="226" t="str">
        <f aca="false">IF(A72="","",IF(ISERROR(VLOOKUP($A72,,13,0)),IF(ISERROR(VLOOKUP($A72,,12,0)),"    -",VLOOKUP($A72,,12,0)),VLOOKUP($A72,,13,0)))</f>
        <v/>
      </c>
      <c r="H72" s="208" t="str">
        <f aca="false">IF(A72="","x",IF(ISERROR(VLOOKUP($A72,,14,0)),IF(ISERROR(VLOOKUP($A72,,13,0)),"x",VLOOKUP($A72,,13,0)),VLOOKUP($A72,,14,0)))</f>
        <v>x</v>
      </c>
      <c r="I72" s="227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8"/>
      <c r="M72" s="228"/>
      <c r="N72" s="228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9" t="n">
        <f aca="false">IF(ISERROR(R72*J72),0,R72*J72)</f>
        <v>0</v>
      </c>
      <c r="V72" s="216" t="n">
        <v>0</v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C72" s="9" t="str">
        <f aca="false">IF(A72="","",1)</f>
        <v/>
      </c>
    </row>
    <row r="73" customFormat="false" ht="12.75" hidden="false" customHeight="false" outlineLevel="0" collapsed="false">
      <c r="A73" s="220"/>
      <c r="B73" s="221"/>
      <c r="C73" s="222"/>
      <c r="D73" s="223" t="str">
        <f aca="false">IF(ISERROR(VLOOKUP($A73,,2,0)),IF(ISERROR(VLOOKUP($A73,,1,0)),"",VLOOKUP($A73,,1,0)),VLOOKUP($A73,,2,0))</f>
        <v/>
      </c>
      <c r="E73" s="224" t="n">
        <f aca="false">IF(D73="",,VLOOKUP(D73,D$22:D57,1,0))</f>
        <v>0</v>
      </c>
      <c r="F73" s="231" t="n">
        <f aca="false">($B73*$B$7+$C73*$C$7)/100</f>
        <v>0</v>
      </c>
      <c r="G73" s="226" t="str">
        <f aca="false">IF(A73="","",IF(ISERROR(VLOOKUP($A73,,13,0)),IF(ISERROR(VLOOKUP($A73,,12,0)),"    -",VLOOKUP($A73,,12,0)),VLOOKUP($A73,,13,0)))</f>
        <v/>
      </c>
      <c r="H73" s="208" t="str">
        <f aca="false">IF(A73="","x",IF(ISERROR(VLOOKUP($A73,,14,0)),IF(ISERROR(VLOOKUP($A73,,13,0)),"x",VLOOKUP($A73,,13,0)),VLOOKUP($A73,,14,0)))</f>
        <v>x</v>
      </c>
      <c r="I73" s="227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8"/>
      <c r="M73" s="228"/>
      <c r="N73" s="228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9" t="n">
        <f aca="false">IF(ISERROR(R73*J73),0,R73*J73)</f>
        <v>0</v>
      </c>
      <c r="V73" s="216" t="n">
        <v>0</v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C73" s="9" t="str">
        <f aca="false">IF(A73="","",1)</f>
        <v/>
      </c>
    </row>
    <row r="74" customFormat="false" ht="12.75" hidden="false" customHeight="false" outlineLevel="0" collapsed="false">
      <c r="A74" s="220"/>
      <c r="B74" s="221"/>
      <c r="C74" s="222"/>
      <c r="D74" s="223" t="str">
        <f aca="false">IF(ISERROR(VLOOKUP($A74,,2,0)),IF(ISERROR(VLOOKUP($A74,,1,0)),"",VLOOKUP($A74,,1,0)),VLOOKUP($A74,,2,0))</f>
        <v/>
      </c>
      <c r="E74" s="224" t="n">
        <f aca="false">IF(D74="",,VLOOKUP(D74,D$22:D58,1,0))</f>
        <v>0</v>
      </c>
      <c r="F74" s="231" t="n">
        <f aca="false">($B74*$B$7+$C74*$C$7)/100</f>
        <v>0</v>
      </c>
      <c r="G74" s="226" t="str">
        <f aca="false">IF(A74="","",IF(ISERROR(VLOOKUP($A74,,13,0)),IF(ISERROR(VLOOKUP($A74,,12,0)),"    -",VLOOKUP($A74,,12,0)),VLOOKUP($A74,,13,0)))</f>
        <v/>
      </c>
      <c r="H74" s="208" t="str">
        <f aca="false">IF(A74="","x",IF(ISERROR(VLOOKUP($A74,,14,0)),IF(ISERROR(VLOOKUP($A74,,13,0)),"x",VLOOKUP($A74,,13,0)),VLOOKUP($A74,,14,0)))</f>
        <v>x</v>
      </c>
      <c r="I74" s="227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8"/>
      <c r="M74" s="228"/>
      <c r="N74" s="228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9" t="n">
        <f aca="false">IF(ISERROR(R74*J74),0,R74*J74)</f>
        <v>0</v>
      </c>
      <c r="V74" s="216" t="n">
        <v>0</v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C74" s="9" t="str">
        <f aca="false">IF(A74="","",1)</f>
        <v/>
      </c>
    </row>
    <row r="75" customFormat="false" ht="12.75" hidden="false" customHeight="false" outlineLevel="0" collapsed="false">
      <c r="A75" s="220"/>
      <c r="B75" s="221"/>
      <c r="C75" s="222"/>
      <c r="D75" s="223" t="str">
        <f aca="false">IF(ISERROR(VLOOKUP($A75,,2,0)),IF(ISERROR(VLOOKUP($A75,,1,0)),"",VLOOKUP($A75,,1,0)),VLOOKUP($A75,,2,0))</f>
        <v/>
      </c>
      <c r="E75" s="224" t="n">
        <f aca="false">IF(D75="",,VLOOKUP(D75,D$22:D59,1,0))</f>
        <v>0</v>
      </c>
      <c r="F75" s="231" t="n">
        <f aca="false">($B75*$B$7+$C75*$C$7)/100</f>
        <v>0</v>
      </c>
      <c r="G75" s="226" t="str">
        <f aca="false">IF(A75="","",IF(ISERROR(VLOOKUP($A75,,13,0)),IF(ISERROR(VLOOKUP($A75,,12,0)),"    -",VLOOKUP($A75,,12,0)),VLOOKUP($A75,,13,0)))</f>
        <v/>
      </c>
      <c r="H75" s="208" t="str">
        <f aca="false">IF(A75="","x",IF(ISERROR(VLOOKUP($A75,,14,0)),IF(ISERROR(VLOOKUP($A75,,13,0)),"x",VLOOKUP($A75,,13,0)),VLOOKUP($A75,,14,0)))</f>
        <v>x</v>
      </c>
      <c r="I75" s="227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8"/>
      <c r="M75" s="228"/>
      <c r="N75" s="228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9" t="n">
        <f aca="false">IF(ISERROR(R75*J75),0,R75*J75)</f>
        <v>0</v>
      </c>
      <c r="V75" s="216" t="n">
        <v>0</v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C75" s="9" t="str">
        <f aca="false">IF(A75="","",1)</f>
        <v/>
      </c>
    </row>
    <row r="76" customFormat="false" ht="12.75" hidden="false" customHeight="false" outlineLevel="0" collapsed="false">
      <c r="A76" s="220"/>
      <c r="B76" s="221"/>
      <c r="C76" s="222"/>
      <c r="D76" s="223" t="str">
        <f aca="false">IF(ISERROR(VLOOKUP($A76,,2,0)),IF(ISERROR(VLOOKUP($A76,,1,0)),"",VLOOKUP($A76,,1,0)),VLOOKUP($A76,,2,0))</f>
        <v/>
      </c>
      <c r="E76" s="224" t="n">
        <f aca="false">IF(D76="",,VLOOKUP(D76,D$22:D59,1,0))</f>
        <v>0</v>
      </c>
      <c r="F76" s="231" t="n">
        <f aca="false">($B76*$B$7+$C76*$C$7)/100</f>
        <v>0</v>
      </c>
      <c r="G76" s="226" t="str">
        <f aca="false">IF(A76="","",IF(ISERROR(VLOOKUP($A76,,13,0)),IF(ISERROR(VLOOKUP($A76,,12,0)),"    -",VLOOKUP($A76,,12,0)),VLOOKUP($A76,,13,0)))</f>
        <v/>
      </c>
      <c r="H76" s="208" t="str">
        <f aca="false">IF(A76="","x",IF(ISERROR(VLOOKUP($A76,,14,0)),IF(ISERROR(VLOOKUP($A76,,13,0)),"x",VLOOKUP($A76,,13,0)),VLOOKUP($A76,,14,0)))</f>
        <v>x</v>
      </c>
      <c r="I76" s="227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8"/>
      <c r="M76" s="228"/>
      <c r="N76" s="228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9" t="n">
        <f aca="false">IF(ISERROR(R76*J76),0,R76*J76)</f>
        <v>0</v>
      </c>
      <c r="V76" s="216" t="n">
        <v>0</v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C76" s="9" t="str">
        <f aca="false">IF(A76="","",1)</f>
        <v/>
      </c>
    </row>
    <row r="77" customFormat="false" ht="12.75" hidden="false" customHeight="false" outlineLevel="0" collapsed="false">
      <c r="A77" s="220"/>
      <c r="B77" s="221"/>
      <c r="C77" s="222"/>
      <c r="D77" s="223" t="str">
        <f aca="false">IF(ISERROR(VLOOKUP($A77,,2,0)),IF(ISERROR(VLOOKUP($A77,,1,0)),"",VLOOKUP($A77,,1,0)),VLOOKUP($A77,,2,0))</f>
        <v/>
      </c>
      <c r="E77" s="224" t="n">
        <f aca="false">IF(D77="",,VLOOKUP(D77,D$22:D75,1,0))</f>
        <v>0</v>
      </c>
      <c r="F77" s="231" t="n">
        <f aca="false">($B77*$B$7+$C77*$C$7)/100</f>
        <v>0</v>
      </c>
      <c r="G77" s="226" t="str">
        <f aca="false">IF(A77="","",IF(ISERROR(VLOOKUP($A77,,13,0)),IF(ISERROR(VLOOKUP($A77,,12,0)),"    -",VLOOKUP($A77,,12,0)),VLOOKUP($A77,,13,0)))</f>
        <v/>
      </c>
      <c r="H77" s="208" t="str">
        <f aca="false">IF(A77="","x",IF(ISERROR(VLOOKUP($A77,,14,0)),IF(ISERROR(VLOOKUP($A77,,13,0)),"x",VLOOKUP($A77,,13,0)),VLOOKUP($A77,,14,0)))</f>
        <v>x</v>
      </c>
      <c r="I77" s="227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8"/>
      <c r="M77" s="228"/>
      <c r="N77" s="228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9" t="n">
        <f aca="false">IF(ISERROR(R77*J77),0,R77*J77)</f>
        <v>0</v>
      </c>
      <c r="V77" s="216" t="n">
        <v>0</v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C77" s="9" t="str">
        <f aca="false">IF(A77="","",1)</f>
        <v/>
      </c>
    </row>
    <row r="78" customFormat="false" ht="12.75" hidden="false" customHeight="false" outlineLevel="0" collapsed="false">
      <c r="A78" s="220"/>
      <c r="B78" s="221"/>
      <c r="C78" s="222"/>
      <c r="D78" s="223" t="str">
        <f aca="false">IF(ISERROR(VLOOKUP($A78,,2,0)),IF(ISERROR(VLOOKUP($A78,,1,0)),"",VLOOKUP($A78,,1,0)),VLOOKUP($A78,,2,0))</f>
        <v/>
      </c>
      <c r="E78" s="224" t="n">
        <f aca="false">IF(D78="",,VLOOKUP(D78,D$22:D75,1,0))</f>
        <v>0</v>
      </c>
      <c r="F78" s="231" t="n">
        <f aca="false">($B78*$B$7+$C78*$C$7)/100</f>
        <v>0</v>
      </c>
      <c r="G78" s="226" t="str">
        <f aca="false">IF(A78="","",IF(ISERROR(VLOOKUP($A78,,13,0)),IF(ISERROR(VLOOKUP($A78,,12,0)),"    -",VLOOKUP($A78,,12,0)),VLOOKUP($A78,,13,0)))</f>
        <v/>
      </c>
      <c r="H78" s="208" t="str">
        <f aca="false">IF(A78="","x",IF(ISERROR(VLOOKUP($A78,,14,0)),IF(ISERROR(VLOOKUP($A78,,13,0)),"x",VLOOKUP($A78,,13,0)),VLOOKUP($A78,,14,0)))</f>
        <v>x</v>
      </c>
      <c r="I78" s="227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8"/>
      <c r="M78" s="228"/>
      <c r="N78" s="228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9" t="n">
        <f aca="false">IF(ISERROR(R78*J78),0,R78*J78)</f>
        <v>0</v>
      </c>
      <c r="V78" s="216" t="n">
        <v>0</v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C78" s="9" t="str">
        <f aca="false">IF(A78="","",1)</f>
        <v/>
      </c>
    </row>
    <row r="79" customFormat="false" ht="12.75" hidden="false" customHeight="false" outlineLevel="0" collapsed="false">
      <c r="A79" s="220"/>
      <c r="B79" s="221"/>
      <c r="C79" s="222"/>
      <c r="D79" s="223" t="str">
        <f aca="false">IF(ISERROR(VLOOKUP($A79,,2,0)),IF(ISERROR(VLOOKUP($A79,,1,0)),"",VLOOKUP($A79,,1,0)),VLOOKUP($A79,,2,0))</f>
        <v/>
      </c>
      <c r="E79" s="224" t="n">
        <f aca="false">IF(D79="",,VLOOKUP(D79,D$22:D75,1,0))</f>
        <v>0</v>
      </c>
      <c r="F79" s="231" t="n">
        <f aca="false">($B79*$B$7+$C79*$C$7)/100</f>
        <v>0</v>
      </c>
      <c r="G79" s="226" t="str">
        <f aca="false">IF(A79="","",IF(ISERROR(VLOOKUP($A79,,13,0)),IF(ISERROR(VLOOKUP($A79,,12,0)),"    -",VLOOKUP($A79,,12,0)),VLOOKUP($A79,,13,0)))</f>
        <v/>
      </c>
      <c r="H79" s="208" t="str">
        <f aca="false">IF(A79="","x",IF(ISERROR(VLOOKUP($A79,,14,0)),IF(ISERROR(VLOOKUP($A79,,13,0)),"x",VLOOKUP($A79,,13,0)),VLOOKUP($A79,,14,0)))</f>
        <v>x</v>
      </c>
      <c r="I79" s="227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8"/>
      <c r="M79" s="228"/>
      <c r="N79" s="228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9" t="n">
        <f aca="false">IF(ISERROR(R79*J79),0,R79*J79)</f>
        <v>0</v>
      </c>
      <c r="V79" s="216" t="n">
        <v>0</v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C79" s="9" t="str">
        <f aca="false">IF(A79="","",1)</f>
        <v/>
      </c>
    </row>
    <row r="80" customFormat="false" ht="12.75" hidden="false" customHeight="false" outlineLevel="0" collapsed="false">
      <c r="A80" s="220"/>
      <c r="B80" s="221"/>
      <c r="C80" s="222"/>
      <c r="D80" s="223" t="str">
        <f aca="false">IF(ISERROR(VLOOKUP($A80,,2,0)),IF(ISERROR(VLOOKUP($A80,,1,0)),"",VLOOKUP($A80,,1,0)),VLOOKUP($A80,,2,0))</f>
        <v/>
      </c>
      <c r="E80" s="224" t="n">
        <f aca="false">IF(D80="",,VLOOKUP(D80,D$22:D79,1,0))</f>
        <v>0</v>
      </c>
      <c r="F80" s="231" t="n">
        <f aca="false">($B80*$B$7+$C80*$C$7)/100</f>
        <v>0</v>
      </c>
      <c r="G80" s="226" t="str">
        <f aca="false">IF(A80="","",IF(ISERROR(VLOOKUP($A80,,13,0)),IF(ISERROR(VLOOKUP($A80,,12,0)),"    -",VLOOKUP($A80,,12,0)),VLOOKUP($A80,,13,0)))</f>
        <v/>
      </c>
      <c r="H80" s="208" t="str">
        <f aca="false">IF(A80="","x",IF(ISERROR(VLOOKUP($A80,,14,0)),IF(ISERROR(VLOOKUP($A80,,13,0)),"x",VLOOKUP($A80,,13,0)),VLOOKUP($A80,,14,0)))</f>
        <v>x</v>
      </c>
      <c r="I80" s="227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8"/>
      <c r="M80" s="228"/>
      <c r="N80" s="228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9" t="n">
        <f aca="false">IF(ISERROR(R80*J80),0,R80*J80)</f>
        <v>0</v>
      </c>
      <c r="V80" s="216" t="n">
        <v>0</v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C80" s="9" t="str">
        <f aca="false">IF(A80="","",1)</f>
        <v/>
      </c>
    </row>
    <row r="81" customFormat="false" ht="12.75" hidden="false" customHeight="false" outlineLevel="0" collapsed="false">
      <c r="A81" s="220"/>
      <c r="B81" s="221"/>
      <c r="C81" s="222"/>
      <c r="D81" s="223" t="str">
        <f aca="false">IF(ISERROR(VLOOKUP($A81,,2,0)),IF(ISERROR(VLOOKUP($A81,,1,0)),"",VLOOKUP($A81,,1,0)),VLOOKUP($A81,,2,0))</f>
        <v/>
      </c>
      <c r="E81" s="224" t="n">
        <f aca="false">IF(D81="",,VLOOKUP(D81,D$21:D80,1,0))</f>
        <v>0</v>
      </c>
      <c r="F81" s="231" t="n">
        <f aca="false">($B81*$B$7+$C81*$C$7)/100</f>
        <v>0</v>
      </c>
      <c r="G81" s="226" t="str">
        <f aca="false">IF(A81="","",IF(ISERROR(VLOOKUP($A81,,13,0)),IF(ISERROR(VLOOKUP($A81,,12,0)),"    -",VLOOKUP($A81,,12,0)),VLOOKUP($A81,,13,0)))</f>
        <v/>
      </c>
      <c r="H81" s="208" t="str">
        <f aca="false">IF(A81="","x",IF(ISERROR(VLOOKUP($A81,,14,0)),IF(ISERROR(VLOOKUP($A81,,13,0)),"x",VLOOKUP($A81,,13,0)),VLOOKUP($A81,,14,0)))</f>
        <v>x</v>
      </c>
      <c r="I81" s="227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3"/>
      <c r="M81" s="233"/>
      <c r="N81" s="233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9" t="n">
        <f aca="false">IF(ISERROR(R81*J81),0,R81*J81)</f>
        <v>0</v>
      </c>
      <c r="V81" s="216" t="n">
        <v>0</v>
      </c>
      <c r="W81" s="217"/>
      <c r="X81" s="235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C81" s="9" t="str">
        <f aca="false">IF(A81="","",1)</f>
        <v/>
      </c>
    </row>
    <row r="82" customFormat="false" ht="12.75" hidden="false" customHeight="false" outlineLevel="0" collapsed="false">
      <c r="A82" s="236"/>
      <c r="B82" s="237"/>
      <c r="C82" s="238"/>
      <c r="D82" s="239" t="str">
        <f aca="false">IF(ISERROR(VLOOKUP($A82,,2,0)),IF(ISERROR(VLOOKUP($A82,,1,0)),"",VLOOKUP($A82,,1,0)),VLOOKUP($A82,,2,0))</f>
        <v/>
      </c>
      <c r="E82" s="240" t="n">
        <f aca="false">IF(D82="",,VLOOKUP(D82,D$20:D80,1,0))</f>
        <v>0</v>
      </c>
      <c r="F82" s="241" t="n">
        <f aca="false">($B82*$B$7+$C82*$C$7)/100</f>
        <v>0</v>
      </c>
      <c r="G82" s="242" t="str">
        <f aca="false">IF(A82="","",IF(ISERROR(VLOOKUP($A82,,13,0)),IF(ISERROR(VLOOKUP($A82,,12,0)),"    -",VLOOKUP($A82,,12,0)),VLOOKUP($A82,,13,0)))</f>
        <v/>
      </c>
      <c r="H82" s="208" t="str">
        <f aca="false">IF(A82="","x",IF(ISERROR(VLOOKUP($A82,,14,0)),IF(ISERROR(VLOOKUP($A82,,13,0)),"x",VLOOKUP($A82,,13,0)),VLOOKUP($A82,,14,0)))</f>
        <v>x</v>
      </c>
      <c r="I82" s="243" t="str">
        <f aca="false">IF(ISNUMBER(H82),IF(ISERROR(VLOOKUP($A82,,3,0)),IF(ISERROR(VLOOKUP($A82,,2,0)),"",VLOOKUP($A82,,2,0)),VLOOKUP($A82,,3,0)),"")</f>
        <v/>
      </c>
      <c r="J82" s="243" t="str">
        <f aca="false">IF(ISNUMBER(H82),IF(ISERROR(VLOOKUP($A82,,4,0)),IF(ISERROR(VLOOKUP($A82,,3,0)),"",VLOOKUP($A82,,3,0)),VLOOKUP($A82,,4,0)),"")</f>
        <v/>
      </c>
      <c r="K82" s="211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4"/>
      <c r="M82" s="244"/>
      <c r="N82" s="244"/>
      <c r="O82" s="213"/>
      <c r="P82" s="245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9" t="n">
        <f aca="false">IF(ISERROR(R82*J82),0,R82*J82)</f>
        <v>0</v>
      </c>
      <c r="V82" s="216" t="n">
        <v>0</v>
      </c>
      <c r="W82" s="246"/>
      <c r="X82" s="247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C82" s="9" t="str">
        <f aca="false">IF(A82="","",1)</f>
        <v/>
      </c>
    </row>
    <row r="83" customFormat="false" ht="13.8" hidden="false" customHeight="false" outlineLevel="0" collapsed="false">
      <c r="A83" s="248" t="s">
        <v>90</v>
      </c>
      <c r="B83" s="155"/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215"/>
      <c r="N83" s="215"/>
      <c r="O83" s="249"/>
      <c r="P83" s="249"/>
      <c r="Q83" s="249"/>
      <c r="R83" s="249"/>
      <c r="S83" s="249"/>
      <c r="T83" s="9"/>
      <c r="U83" s="9"/>
      <c r="V83" s="249"/>
      <c r="W83" s="249"/>
      <c r="X83" s="249"/>
      <c r="Y83" s="250"/>
      <c r="Z83" s="250"/>
      <c r="AA83" s="250"/>
      <c r="AB83" s="251"/>
      <c r="AC83" s="251"/>
      <c r="AD83" s="251"/>
    </row>
    <row r="84" customFormat="false" ht="12.75" hidden="false" customHeight="false" outlineLevel="0" collapsed="false">
      <c r="A84" s="252" t="str">
        <f aca="false">A3</f>
        <v>goutte du Moulin ou rau du bost</v>
      </c>
      <c r="B84" s="253" t="str">
        <f aca="false">C3</f>
        <v>RAU DU BOST à BUSSY-ALBIEUX</v>
      </c>
      <c r="C84" s="254" t="n">
        <f aca="false">A4</f>
        <v>41103</v>
      </c>
      <c r="D84" s="255" t="str">
        <f aca="false">IF(ISERROR(SUM($T$23:$T$82)/SUM($U$23:$U$82)),"",SUM($T$23:$T$82)/SUM($U$23:$U$82))</f>
        <v/>
      </c>
      <c r="E84" s="256" t="n">
        <f aca="false">N13</f>
        <v>11</v>
      </c>
      <c r="F84" s="257" t="n">
        <f aca="false">N14</f>
        <v>0</v>
      </c>
      <c r="G84" s="257" t="n">
        <f aca="false">N15</f>
        <v>0</v>
      </c>
      <c r="H84" s="257" t="n">
        <f aca="false">N16</f>
        <v>0</v>
      </c>
      <c r="I84" s="257" t="n">
        <f aca="false">N17</f>
        <v>0</v>
      </c>
      <c r="J84" s="258" t="e">
        <f aca="false">N8</f>
        <v>#DIV/0!</v>
      </c>
      <c r="K84" s="255" t="e">
        <f aca="false">N9</f>
        <v>#DIV/0!</v>
      </c>
      <c r="L84" s="256" t="n">
        <f aca="false">N10</f>
        <v>0</v>
      </c>
      <c r="M84" s="256" t="n">
        <f aca="false">N11</f>
        <v>0</v>
      </c>
      <c r="N84" s="255" t="e">
        <f aca="false">O8</f>
        <v>#DIV/0!</v>
      </c>
      <c r="O84" s="255" t="e">
        <f aca="false">O9</f>
        <v>#DIV/0!</v>
      </c>
      <c r="P84" s="256" t="n">
        <f aca="false">O10</f>
        <v>0</v>
      </c>
      <c r="Q84" s="256" t="n">
        <f aca="false">O11</f>
        <v>0</v>
      </c>
      <c r="R84" s="256" t="n">
        <f aca="false">O11</f>
        <v>0</v>
      </c>
      <c r="S84" s="259" t="n">
        <f aca="false">F21</f>
        <v>2.32319998340681</v>
      </c>
      <c r="T84" s="256" t="n">
        <f aca="false">K11</f>
        <v>0</v>
      </c>
      <c r="U84" s="256" t="n">
        <f aca="false">K12</f>
        <v>0</v>
      </c>
      <c r="V84" s="256" t="n">
        <f aca="false">K13</f>
        <v>0</v>
      </c>
      <c r="W84" s="260" t="n">
        <f aca="false">K14</f>
        <v>0</v>
      </c>
      <c r="X84" s="261" t="n">
        <f aca="false">K15</f>
        <v>0</v>
      </c>
      <c r="Z84" s="235"/>
      <c r="AA84" s="235"/>
      <c r="AB84" s="251"/>
      <c r="AC84" s="251"/>
      <c r="AD84" s="251"/>
    </row>
    <row r="85" customFormat="false" ht="12.75" hidden="fals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false" customHeight="false" outlineLevel="0" collapsed="false">
      <c r="P86" s="9"/>
      <c r="Q86" s="262" t="s">
        <v>91</v>
      </c>
      <c r="R86" s="9"/>
      <c r="S86" s="216"/>
      <c r="T86" s="9"/>
      <c r="U86" s="9"/>
      <c r="V86" s="9"/>
    </row>
    <row r="87" customFormat="false" ht="12.75" hidden="false" customHeight="false" outlineLevel="0" collapsed="false">
      <c r="P87" s="9"/>
      <c r="Q87" s="9" t="s">
        <v>92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false" customHeight="false" outlineLevel="0" collapsed="false">
      <c r="P88" s="9"/>
      <c r="Q88" s="9" t="s">
        <v>93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false" customHeight="false" outlineLevel="0" collapsed="false">
      <c r="Q89" s="9" t="s">
        <v>94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95</v>
      </c>
      <c r="R90" s="9"/>
      <c r="S90" s="263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96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1"/>
    </row>
    <row r="92" customFormat="false" ht="12.75" hidden="false" customHeight="false" outlineLevel="0" collapsed="false">
      <c r="Q92" s="9" t="s">
        <v>97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98</v>
      </c>
      <c r="R93" s="9"/>
      <c r="S93" s="215" t="str">
        <f aca="false">INDEX($A$23:$A$82,$S$92)</f>
        <v>RANREP</v>
      </c>
      <c r="T93" s="9"/>
    </row>
    <row r="94" customFormat="false" ht="12.75" hidden="false" customHeight="false" outlineLevel="0" collapsed="false">
      <c r="S94" s="251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31">
    <cfRule type="expression" priority="28" aboveAverage="0" equalAverage="0" bottom="0" percent="0" rank="0" text="" dxfId="26">
      <formula>ISTEXT($E31)</formula>
    </cfRule>
  </conditionalFormatting>
  <dataValidations count="8">
    <dataValidation allowBlank="true" error="sélectionner un des types de faciès de la liste." errorStyle="warning" errorTitle="ATTENTION :" operator="between" showDropDown="false" showErrorMessage="true" showInputMessage="true" sqref="B6:C6 IX6:IY6 ST6:SU6 ACP6:ACQ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:J7 IX7:JA7 JD7:JF7 ST7:SW7 SZ7:TB7 ACP7:ACS7 ACV7:ACX7 H9:J9 JD9:JF9 SZ9:TB9 ACV9:ACX9 H10:I10 JD10:JE10 SZ10:TA10 ACV10:ACW10 H11:H18 JD11:JD18 SZ11:SZ18 ACV11:ACV18 B20:D20 G20:J20 IX20:IZ20 JC20:JF20 ST20:SV20 SY20:TB20 ACP20:ACR20 ACU20:ACX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17 IX9:JA17 ST9:SW17 ACP9:ACS17 B18:D18 IX18:IZ18 ST18:SV18 ACP18:ACR18 B23:C42 IX23:IY42 ST23:SU42 ACP23:ACQ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D23:D82 IZ23:IZ82 SV23:SV82 ACR23:ACR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 JA18 SW18 ACS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 JA20 SW20 ACS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 JC23:JC82 SY23:SY82 ACU23:ACU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AA23:AA82 JW23:JW82 TS23:TS82 ADO23:ADO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2024-03-14T21:52:30Z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