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12200" sheetId="1" state="visible" r:id="rId3"/>
  </sheets>
  <externalReferences>
    <externalReference r:id="rId4"/>
  </externalReferences>
  <definedNames>
    <definedName function="false" hidden="false" localSheetId="0" name="_xlnm.Print_Area" vbProcedure="false">'04012200'!$A$1:$O$82</definedName>
    <definedName function="false" hidden="false" localSheetId="0" name="Excel_BuiltIn__FilterDatabase" vbProcedure="false">'04012200'!$A$23:$J$84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<sst xmlns="http://schemas.openxmlformats.org/spreadsheetml/2006/main" count="102" uniqueCount="97">
  <si>
    <t xml:space="preserve">Relevés floristiques aquatiques - IBMR</t>
  </si>
  <si>
    <t xml:space="preserve">GIS Macrophytes - juillet 2006</t>
  </si>
  <si>
    <t xml:space="preserve">AQUASCOP</t>
  </si>
  <si>
    <t xml:space="preserve">Aurélia MARQUIS-Antoine ROBE</t>
  </si>
  <si>
    <t xml:space="preserve">conforme AFNOR T90-395 oct. 2003</t>
  </si>
  <si>
    <t xml:space="preserve">AIX</t>
  </si>
  <si>
    <t xml:space="preserve">Saint Georges de Baroille</t>
  </si>
  <si>
    <t xml:space="preserve">04012200</t>
  </si>
  <si>
    <t xml:space="preserve">RCS </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</si>
  <si>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</si>
  <si>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</si>
  <si>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</si>
  <si>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</si>
  <si>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</si>
  <si>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</si>
  <si>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</si>
  <si>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</si>
  <si>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</si>
  <si>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</si>
  <si>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</si>
  <si>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</si>
  <si>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</si>
  <si>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</si>
  <si>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</si>
  <si>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</si>
  <si>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</si>
  <si>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</si>
  <si>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</si>
  <si>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</si>
  <si>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</si>
  <si>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</si>
  <si>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</si>
  <si>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</si>
  <si>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</si>
  <si>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</si>
  <si>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</si>
  <si>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</si>
  <si>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</si>
  <si>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</si>
  <si>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</si>
  <si>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</si>
  <si>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</si>
  <si>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</si>
  <si>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</si>
  <si>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</si>
  <si>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</si>
  <si>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</si>
  <si>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</si>
  <si>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</si>
  <si>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</si>
  <si>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</si>
  <si>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</si>
  <si>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</si>
  <si>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</si>
  <si>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</si>
  <si>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</si>
  <si>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</si>
  <si>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</si>
  <si>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</si>
  <si>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</si>
  <si>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</si>
  <si>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</si>
  <si>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</si>
  <si>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</si>
  <si>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</si>
  <si>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</si>
  <si>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</si>
  <si>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</si>
  <si>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</si>
  <si>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</si>
  <si>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</si>
  <si>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</si>
  <si>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</si>
  <si>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</si>
  <si>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</si>
  <si>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HIL.SPX</t>
  </si>
  <si>
    <t xml:space="preserve">MEL.SPX</t>
  </si>
  <si>
    <t xml:space="preserve">OSC.SPX</t>
  </si>
  <si>
    <t xml:space="preserve">AMB.FLU</t>
  </si>
  <si>
    <t xml:space="preserve">AMB.RIP</t>
  </si>
  <si>
    <t xml:space="preserve">FIS.VIR</t>
  </si>
  <si>
    <t xml:space="preserve">FON.ANT</t>
  </si>
  <si>
    <t xml:space="preserve">OCT.FON</t>
  </si>
  <si>
    <t xml:space="preserve">RHY.RIP</t>
  </si>
  <si>
    <t xml:space="preserve">RAN.FLU</t>
  </si>
  <si>
    <t xml:space="preserve">Cf.</t>
  </si>
  <si>
    <t xml:space="preserve">AGR.STO</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</si>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</sst>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CS_AELB_Calculs__IBMR_2010_DREAL_RA_valide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09050"/>
      <sheetName val="04010000"/>
      <sheetName val="04010780"/>
      <sheetName val="04011100"/>
      <sheetName val="04011300"/>
      <sheetName val="04011700"/>
      <sheetName val="04012200"/>
      <sheetName val="04013975"/>
      <sheetName val="04015000"/>
      <sheetName val="04015300"/>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40416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10.9285714285714</v>
      </c>
      <c r="M5" s="51"/>
      <c r="N5" s="52" t="s">
        <v>15</v>
      </c>
      <c r="O5" s="53" t="n">
        <v>10.25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11</v>
      </c>
      <c r="C7" s="65" t="n">
        <v>89</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10.7142857142857</v>
      </c>
      <c r="O8" s="82" t="n">
        <f aca="false">AVERAGE(J23:J82)</f>
        <v>1.64285714285714</v>
      </c>
      <c r="P8" s="8"/>
      <c r="Q8" s="8"/>
      <c r="R8" s="8"/>
      <c r="S8" s="8"/>
      <c r="T8" s="8"/>
      <c r="U8" s="8"/>
      <c r="V8" s="20"/>
      <c r="W8" s="21"/>
    </row>
    <row r="9" customFormat="false" ht="12.75" hidden="false" customHeight="false" outlineLevel="0" collapsed="false">
      <c r="A9" s="83" t="s">
        <v>28</v>
      </c>
      <c r="B9" s="84" t="n">
        <v>10.395</v>
      </c>
      <c r="C9" s="85" t="n">
        <v>0.03</v>
      </c>
      <c r="D9" s="86"/>
      <c r="E9" s="86"/>
      <c r="F9" s="87" t="n">
        <f aca="false">($B9*$B$7+$C9*$C$7)/100</f>
        <v>1.17015</v>
      </c>
      <c r="G9" s="88"/>
      <c r="H9" s="89"/>
      <c r="I9" s="90"/>
      <c r="J9" s="91"/>
      <c r="K9" s="71"/>
      <c r="L9" s="92"/>
      <c r="M9" s="80" t="s">
        <v>29</v>
      </c>
      <c r="N9" s="81" t="n">
        <f aca="false">STDEV(I23:I82)</f>
        <v>2.67261241912424</v>
      </c>
      <c r="O9" s="82" t="n">
        <f aca="false">STDEV(J23:J82)</f>
        <v>0.633323693776651</v>
      </c>
      <c r="P9" s="8"/>
      <c r="Q9" s="8"/>
      <c r="R9" s="8"/>
      <c r="S9" s="8"/>
      <c r="T9" s="8"/>
      <c r="U9" s="8"/>
      <c r="V9" s="93"/>
      <c r="W9" s="94"/>
    </row>
    <row r="10" customFormat="false" ht="12.75" hidden="false" customHeight="false" outlineLevel="0" collapsed="false">
      <c r="A10" s="95" t="s">
        <v>30</v>
      </c>
      <c r="B10" s="96" t="n">
        <v>35</v>
      </c>
      <c r="C10" s="97" t="n">
        <v>30</v>
      </c>
      <c r="D10" s="98"/>
      <c r="E10" s="98"/>
      <c r="F10" s="87" t="n">
        <f aca="false">($B10*$B$7+$C10*$C$7)/100</f>
        <v>30.55</v>
      </c>
      <c r="G10" s="88"/>
      <c r="H10" s="99"/>
      <c r="I10" s="100"/>
      <c r="J10" s="101" t="s">
        <v>31</v>
      </c>
      <c r="K10" s="101"/>
      <c r="L10" s="102"/>
      <c r="M10" s="103" t="s">
        <v>32</v>
      </c>
      <c r="N10" s="104" t="n">
        <f aca="false">MIN(I23:I82)</f>
        <v>5</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2.01</v>
      </c>
      <c r="C12" s="117" t="n">
        <v>0.015</v>
      </c>
      <c r="D12" s="109"/>
      <c r="E12" s="109"/>
      <c r="F12" s="110" t="n">
        <f aca="false">($B12*$B$7+$C12*$C$7)/100</f>
        <v>0.23445</v>
      </c>
      <c r="G12" s="118"/>
      <c r="H12" s="66"/>
      <c r="I12" s="119" t="s">
        <v>37</v>
      </c>
      <c r="J12" s="119"/>
      <c r="K12" s="113" t="n">
        <f aca="false">COUNTIF($G$23:$G$82,"=ALG")</f>
        <v>5</v>
      </c>
      <c r="L12" s="120"/>
      <c r="M12" s="121"/>
      <c r="N12" s="122" t="s">
        <v>31</v>
      </c>
      <c r="O12" s="123"/>
      <c r="P12" s="8"/>
      <c r="Q12" s="8"/>
      <c r="R12" s="8"/>
      <c r="S12" s="8"/>
      <c r="T12" s="8"/>
      <c r="U12" s="8"/>
    </row>
    <row r="13" customFormat="false" ht="12.75" hidden="false" customHeight="false" outlineLevel="0" collapsed="false">
      <c r="A13" s="115" t="s">
        <v>38</v>
      </c>
      <c r="B13" s="116" t="n">
        <v>8.015</v>
      </c>
      <c r="C13" s="117" t="n">
        <v>0.015</v>
      </c>
      <c r="D13" s="109"/>
      <c r="E13" s="109"/>
      <c r="F13" s="110" t="n">
        <f aca="false">($B13*$B$7+$C13*$C$7)/100</f>
        <v>0.895</v>
      </c>
      <c r="G13" s="118"/>
      <c r="H13" s="66"/>
      <c r="I13" s="119" t="s">
        <v>39</v>
      </c>
      <c r="J13" s="119"/>
      <c r="K13" s="113" t="n">
        <f aca="false">COUNTIF($G$23:$G$82,"=BRm")+COUNTIF($G$23:$G$82,"=BRh")</f>
        <v>6</v>
      </c>
      <c r="L13" s="114"/>
      <c r="M13" s="124" t="s">
        <v>40</v>
      </c>
      <c r="N13" s="125" t="n">
        <f aca="false">COUNTIF(F23:F82,"&gt;0")</f>
        <v>14</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14</v>
      </c>
      <c r="O14" s="129"/>
      <c r="P14" s="8"/>
      <c r="Q14" s="8"/>
      <c r="R14" s="8"/>
      <c r="S14" s="8"/>
      <c r="T14" s="8"/>
      <c r="U14" s="8"/>
    </row>
    <row r="15" customFormat="false" ht="12.75" hidden="false" customHeight="false" outlineLevel="0" collapsed="false">
      <c r="A15" s="130" t="s">
        <v>44</v>
      </c>
      <c r="B15" s="131" t="n">
        <v>0.37</v>
      </c>
      <c r="C15" s="132" t="n">
        <v>0</v>
      </c>
      <c r="D15" s="109"/>
      <c r="E15" s="109"/>
      <c r="F15" s="110" t="n">
        <f aca="false">($B15*$B$7+$C15*$C$7)/100</f>
        <v>0.0407</v>
      </c>
      <c r="G15" s="118"/>
      <c r="H15" s="66"/>
      <c r="I15" s="119" t="s">
        <v>45</v>
      </c>
      <c r="J15" s="119"/>
      <c r="K15" s="113" t="n">
        <f aca="false">(COUNTIF($G$23:$G$82,"=PHy"))+(COUNTIF($G$23:$G$82,"=PHe"))+(COUNTIF($G$23:$G$82,"=PHg"))+(COUNTIF($G$23:$G$82,"=PHx"))</f>
        <v>3</v>
      </c>
      <c r="L15" s="114"/>
      <c r="M15" s="133" t="s">
        <v>46</v>
      </c>
      <c r="N15" s="134" t="n">
        <f aca="false">COUNTIF(J23:J82,"=1")</f>
        <v>6</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7</v>
      </c>
      <c r="O16" s="135"/>
      <c r="P16" s="8"/>
      <c r="Q16" s="8"/>
      <c r="R16" s="8"/>
      <c r="S16" s="8"/>
      <c r="T16" s="8"/>
      <c r="U16" s="8"/>
    </row>
    <row r="17" customFormat="false" ht="12.75" hidden="false" customHeight="false" outlineLevel="0" collapsed="false">
      <c r="A17" s="115" t="s">
        <v>49</v>
      </c>
      <c r="B17" s="116" t="n">
        <v>10.375</v>
      </c>
      <c r="C17" s="117" t="n">
        <v>0.03</v>
      </c>
      <c r="D17" s="109"/>
      <c r="E17" s="109"/>
      <c r="F17" s="139"/>
      <c r="G17" s="110" t="n">
        <f aca="false">($B17*$B$7+$C17*$C$7)/100</f>
        <v>1.16795</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0.02</v>
      </c>
      <c r="C18" s="142" t="n">
        <v>0</v>
      </c>
      <c r="D18" s="109"/>
      <c r="E18" s="143" t="s">
        <v>52</v>
      </c>
      <c r="F18" s="139"/>
      <c r="G18" s="110" t="n">
        <f aca="false">($B18*$B$7+$C18*$C$7)/100</f>
        <v>0.0022</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1.17015</v>
      </c>
      <c r="G19" s="151" t="n">
        <f aca="false">SUM(G16:G18)</f>
        <v>1.17015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10.395</v>
      </c>
      <c r="C20" s="160" t="n">
        <f aca="false">SUM(C23:C82)</f>
        <v>0.03</v>
      </c>
      <c r="D20" s="161"/>
      <c r="E20" s="162" t="s">
        <v>52</v>
      </c>
      <c r="F20" s="163" t="n">
        <f aca="false">($B20*$B$7+$C20*$C$7)/100</f>
        <v>1.17015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1.14345</v>
      </c>
      <c r="C21" s="172" t="n">
        <f aca="false">C20*C7/100</f>
        <v>0.0267</v>
      </c>
      <c r="D21" s="109" t="str">
        <f aca="false">IF(F21=0,"",IF((ABS(F21-F19))&gt;(0.2*F21),CONCATENATE(" rec. par taxa (",F21," %) supérieur à 20 % !"),""))</f>
        <v/>
      </c>
      <c r="E21" s="173" t="str">
        <f aca="false">IF(F21=0,"",IF((ABS(F21-F19))&gt;(0.2*F21),CONCATENATE("ATTENTION : écart entre rec. par grp (",F19," %) ","et",""),""))</f>
        <v/>
      </c>
      <c r="F21" s="174" t="n">
        <f aca="false">B21+C21</f>
        <v>1.17015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0.00055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0.00055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0.005</v>
      </c>
      <c r="C24" s="214"/>
      <c r="D24" s="215" t="str">
        <f aca="false">IF(ISERROR(VLOOKUP($A24,'[1]liste reference'!$A$7:$D$906,2,0)),IF(ISERROR(VLOOKUP($A24,'[1]liste reference'!$B$7:$D$906,1,0)),"",VLOOKUP($A24,'[1]liste reference'!$B$7:$D$906,1,0)),VLOOKUP($A24,'[1]liste reference'!$A$7:$D$906,2,0))</f>
        <v>Hildenbrandia rivularis</v>
      </c>
      <c r="E24" s="215" t="e">
        <f aca="false">IF(D24="",0,VLOOKUP(D24,D$22:D23,1,0))</f>
        <v>#N/A</v>
      </c>
      <c r="F24" s="216" t="n">
        <f aca="false">($B24*$B$7+$C24*$C$7)/100</f>
        <v>0.00055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0.00055</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31</v>
      </c>
      <c r="Z24" s="210"/>
      <c r="AA24" s="211"/>
      <c r="BB24" s="8" t="n">
        <f aca="false">IF(A24="","",1)</f>
        <v>1</v>
      </c>
    </row>
    <row r="25" customFormat="false" ht="12.75" hidden="false" customHeight="false" outlineLevel="0" collapsed="false">
      <c r="A25" s="212" t="s">
        <v>15</v>
      </c>
      <c r="B25" s="213" t="n">
        <v>1</v>
      </c>
      <c r="C25" s="214" t="n">
        <v>0.005</v>
      </c>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0.11445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2"/>
      <c r="M25" s="222"/>
      <c r="N25" s="222"/>
      <c r="O25" s="223"/>
      <c r="P25" s="206" t="n">
        <f aca="false">IF(ISTEXT(H25),"",(B25*$B$7/100)+(C25*$C$7/100))</f>
        <v>0.11445</v>
      </c>
      <c r="Q25" s="207" t="n">
        <f aca="false">IF(OR(ISTEXT(H25),P25=0),"",IF(P25&lt;0.1,1,IF(P25&lt;1,2,IF(P25&lt;10,3,IF(P25&lt;50,4,IF(P25&gt;=50,5,""))))))</f>
        <v>2</v>
      </c>
      <c r="R25" s="207" t="n">
        <f aca="false">IF(ISERROR(Q25*I25),0,Q25*I25)</f>
        <v>30</v>
      </c>
      <c r="S25" s="207" t="n">
        <f aca="false">IF(ISERROR(Q25*I25*J25),0,Q25*I25*J25)</f>
        <v>60</v>
      </c>
      <c r="T25" s="221" t="n">
        <f aca="false">IF(ISERROR(Q25*J25),0,Q25*J25)</f>
        <v>4</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76</v>
      </c>
      <c r="B26" s="213" t="n">
        <v>1</v>
      </c>
      <c r="C26" s="214" t="n">
        <v>0.005</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0.11445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2"/>
      <c r="M26" s="222"/>
      <c r="N26" s="222"/>
      <c r="O26" s="223"/>
      <c r="P26" s="206" t="n">
        <f aca="false">IF(ISTEXT(H26),"",(B26*$B$7/100)+(C26*$C$7/100))</f>
        <v>0.11445</v>
      </c>
      <c r="Q26" s="207" t="n">
        <f aca="false">IF(OR(ISTEXT(H26),P26=0),"",IF(P26&lt;0.1,1,IF(P26&lt;1,2,IF(P26&lt;10,3,IF(P26&lt;50,4,IF(P26&gt;=50,5,""))))))</f>
        <v>2</v>
      </c>
      <c r="R26" s="207" t="n">
        <f aca="false">IF(ISERROR(Q26*I26),0,Q26*I26)</f>
        <v>20</v>
      </c>
      <c r="S26" s="207" t="n">
        <f aca="false">IF(ISERROR(Q26*I26*J26),0,Q26*I26*J26)</f>
        <v>20</v>
      </c>
      <c r="T26" s="221" t="n">
        <f aca="false">IF(ISERROR(Q26*J26),0,Q26*J26)</f>
        <v>2</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77</v>
      </c>
      <c r="B27" s="213"/>
      <c r="C27" s="214" t="n">
        <v>0.005</v>
      </c>
      <c r="D27" s="215" t="str">
        <f aca="false">IF(ISERROR(VLOOKUP($A27,'[1]liste reference'!$A$7:$D$906,2,0)),IF(ISERROR(VLOOKUP($A27,'[1]liste reference'!$B$7:$D$906,1,0)),"",VLOOKUP($A27,'[1]liste reference'!$B$7:$D$906,1,0)),VLOOKUP($A27,'[1]liste reference'!$A$7:$D$906,2,0))</f>
        <v>Oscillatoria sp.       </v>
      </c>
      <c r="E27" s="215" t="e">
        <f aca="false">IF(D27="",0,VLOOKUP(D27,D$21:D26,1,0))</f>
        <v>#N/A</v>
      </c>
      <c r="F27" s="216" t="n">
        <f aca="false">($B27*$B$7+$C27*$C$7)/100</f>
        <v>0.00445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Oscillatoria sp.       </v>
      </c>
      <c r="L27" s="222"/>
      <c r="M27" s="222"/>
      <c r="N27" s="222"/>
      <c r="O27" s="223"/>
      <c r="P27" s="206" t="n">
        <f aca="false">IF(ISTEXT(H27),"",(B27*$B$7/100)+(C27*$C$7/100))</f>
        <v>0.00445</v>
      </c>
      <c r="Q27" s="207" t="n">
        <f aca="false">IF(OR(ISTEXT(H27),P27=0),"",IF(P27&lt;0.1,1,IF(P27&lt;1,2,IF(P27&lt;10,3,IF(P27&lt;50,4,IF(P27&gt;=50,5,""))))))</f>
        <v>1</v>
      </c>
      <c r="R27" s="207" t="n">
        <f aca="false">IF(ISERROR(Q27*I27),0,Q27*I27)</f>
        <v>11</v>
      </c>
      <c r="S27" s="207" t="n">
        <f aca="false">IF(ISERROR(Q27*I27*J27),0,Q27*I27*J27)</f>
        <v>11</v>
      </c>
      <c r="T27" s="221" t="n">
        <f aca="false">IF(ISERROR(Q27*J27),0,Q27*J27)</f>
        <v>1</v>
      </c>
      <c r="U27" s="208" t="str">
        <f aca="false">IF(AND(A27="",F27=0),"",IF(F27=0,"Il manque le(s) % de rec. !",""))</f>
        <v/>
      </c>
      <c r="V27" s="209"/>
      <c r="W27" s="224"/>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75" hidden="false" customHeight="false" outlineLevel="0" collapsed="false">
      <c r="A28" s="212" t="s">
        <v>78</v>
      </c>
      <c r="B28" s="213" t="n">
        <v>0.005</v>
      </c>
      <c r="C28" s="214"/>
      <c r="D28" s="215" t="str">
        <f aca="false">IF(ISERROR(VLOOKUP($A28,'[1]liste reference'!$A$7:$D$906,2,0)),IF(ISERROR(VLOOKUP($A28,'[1]liste reference'!$B$7:$D$906,1,0)),"",VLOOKUP($A28,'[1]liste reference'!$B$7:$D$906,1,0)),VLOOKUP($A28,'[1]liste reference'!$A$7:$D$906,2,0))</f>
        <v>Amblystegium fluviatile (Hygroamblystegium fluviatile)</v>
      </c>
      <c r="E28" s="215" t="e">
        <f aca="false">IF(D28="",0,VLOOKUP(D28,D$22:D27,1,0))</f>
        <v>#N/A</v>
      </c>
      <c r="F28" s="216" t="n">
        <f aca="false">($B28*$B$7+$C28*$C$7)/100</f>
        <v>0.00055</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11</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Amblystegium fluviatile (Hygroamblystegium fluviatile)</v>
      </c>
      <c r="L28" s="222"/>
      <c r="M28" s="222"/>
      <c r="N28" s="222"/>
      <c r="O28" s="223"/>
      <c r="P28" s="206" t="n">
        <f aca="false">IF(ISTEXT(H28),"",(B28*$B$7/100)+(C28*$C$7/100))</f>
        <v>0.00055</v>
      </c>
      <c r="Q28" s="207" t="n">
        <f aca="false">IF(OR(ISTEXT(H28),P28=0),"",IF(P28&lt;0.1,1,IF(P28&lt;1,2,IF(P28&lt;10,3,IF(P28&lt;50,4,IF(P28&gt;=50,5,""))))))</f>
        <v>1</v>
      </c>
      <c r="R28" s="207" t="n">
        <f aca="false">IF(ISERROR(Q28*I28),0,Q28*I28)</f>
        <v>11</v>
      </c>
      <c r="S28" s="207" t="n">
        <f aca="false">IF(ISERROR(Q28*I28*J28),0,Q28*I28*J28)</f>
        <v>22</v>
      </c>
      <c r="T28" s="221" t="n">
        <f aca="false">IF(ISERROR(Q28*J28),0,Q28*J28)</f>
        <v>2</v>
      </c>
      <c r="U28" s="208" t="str">
        <f aca="false">IF(AND(A28="",F28=0),"",IF(F28=0,"Il manque le(s) % de rec. !",""))</f>
        <v/>
      </c>
      <c r="V28" s="209"/>
      <c r="X28" s="207" t="str">
        <f aca="false">IF(A28="new.cod","NEW.COD",IF(AND((Y28=""),ISTEXT(A28)),A28,IF(Y28="","",INDEX('[1]liste reference'!$A$7:$A$906,Y28))))</f>
        <v>AMB.FLU</v>
      </c>
      <c r="Y28" s="8" t="n">
        <f aca="false">IF(ISERROR(MATCH(A28,'[1]liste reference'!$A$7:$A$906,0)),IF(ISERROR(MATCH(A28,'[1]liste reference'!$B$7:$B$906,0)),"",(MATCH(A28,'[1]liste reference'!$B$7:$B$906,0))),(MATCH(A28,'[1]liste reference'!$A$7:$A$906,0)))</f>
        <v>148</v>
      </c>
      <c r="Z28" s="210"/>
      <c r="AA28" s="211"/>
      <c r="BB28" s="8" t="n">
        <f aca="false">IF(A28="","",1)</f>
        <v>1</v>
      </c>
    </row>
    <row r="29" customFormat="false" ht="12.75" hidden="false" customHeight="false" outlineLevel="0" collapsed="false">
      <c r="A29" s="212" t="s">
        <v>79</v>
      </c>
      <c r="B29" s="213" t="n">
        <v>0.005</v>
      </c>
      <c r="C29" s="214"/>
      <c r="D29" s="215" t="str">
        <f aca="false">IF(ISERROR(VLOOKUP($A29,'[1]liste reference'!$A$7:$D$906,2,0)),IF(ISERROR(VLOOKUP($A29,'[1]liste reference'!$B$7:$D$906,1,0)),"",VLOOKUP($A29,'[1]liste reference'!$B$7:$D$906,1,0)),VLOOKUP($A29,'[1]liste reference'!$A$7:$D$906,2,0))</f>
        <v>Amblystegium riparium (Leptodictyum riparium)</v>
      </c>
      <c r="E29" s="215" t="e">
        <f aca="false">IF(D29="",0,VLOOKUP(D29,D$22:D28,1,0))</f>
        <v>#N/A</v>
      </c>
      <c r="F29" s="216" t="n">
        <f aca="false">($B29*$B$7+$C29*$C$7)/100</f>
        <v>0.00055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riparium (Leptodictyum riparium)</v>
      </c>
      <c r="L29" s="222"/>
      <c r="M29" s="222"/>
      <c r="N29" s="222"/>
      <c r="O29" s="223"/>
      <c r="P29" s="206" t="n">
        <f aca="false">IF(ISTEXT(H29),"",(B29*$B$7/100)+(C29*$C$7/100))</f>
        <v>0.00055</v>
      </c>
      <c r="Q29" s="207" t="n">
        <f aca="false">IF(OR(ISTEXT(H29),P29=0),"",IF(P29&lt;0.1,1,IF(P29&lt;1,2,IF(P29&lt;10,3,IF(P29&lt;50,4,IF(P29&gt;=50,5,""))))))</f>
        <v>1</v>
      </c>
      <c r="R29" s="207" t="n">
        <f aca="false">IF(ISERROR(Q29*I29),0,Q29*I29)</f>
        <v>5</v>
      </c>
      <c r="S29" s="207" t="n">
        <f aca="false">IF(ISERROR(Q29*I29*J29),0,Q29*I29*J29)</f>
        <v>10</v>
      </c>
      <c r="T29" s="221" t="n">
        <f aca="false">IF(ISERROR(Q29*J29),0,Q29*J29)</f>
        <v>2</v>
      </c>
      <c r="U29" s="208" t="str">
        <f aca="false">IF(AND(A29="",F29=0),"",IF(F29=0,"Il manque le(s) % de rec. !",""))</f>
        <v/>
      </c>
      <c r="V29" s="209"/>
      <c r="W29" s="209"/>
      <c r="X29" s="207" t="str">
        <f aca="false">IF(A29="new.cod","NEW.COD",IF(AND((Y29=""),ISTEXT(A29)),A29,IF(Y29="","",INDEX('[1]liste reference'!$A$7:$A$906,Y29))))</f>
        <v>AMB.RIP</v>
      </c>
      <c r="Y29" s="8" t="n">
        <f aca="false">IF(ISERROR(MATCH(A29,'[1]liste reference'!$A$7:$A$906,0)),IF(ISERROR(MATCH(A29,'[1]liste reference'!$B$7:$B$906,0)),"",(MATCH(A29,'[1]liste reference'!$B$7:$B$906,0))),(MATCH(A29,'[1]liste reference'!$A$7:$A$906,0)))</f>
        <v>149</v>
      </c>
      <c r="Z29" s="210"/>
      <c r="AA29" s="211"/>
      <c r="BB29" s="8" t="n">
        <f aca="false">IF(A29="","",1)</f>
        <v>1</v>
      </c>
    </row>
    <row r="30" customFormat="false" ht="12.75" hidden="false" customHeight="false" outlineLevel="0" collapsed="false">
      <c r="A30" s="212" t="s">
        <v>80</v>
      </c>
      <c r="B30" s="213"/>
      <c r="C30" s="214" t="n">
        <v>0.005</v>
      </c>
      <c r="D30" s="215" t="str">
        <f aca="false">IF(ISERROR(VLOOKUP($A30,'[1]liste reference'!$A$7:$D$906,2,0)),IF(ISERROR(VLOOKUP($A30,'[1]liste reference'!$B$7:$D$906,1,0)),"",VLOOKUP($A30,'[1]liste reference'!$B$7:$D$906,1,0)),VLOOKUP($A30,'[1]liste reference'!$A$7:$D$906,2,0))</f>
        <v>Fissidens viridulus   </v>
      </c>
      <c r="E30" s="215" t="e">
        <f aca="false">IF(D30="",0,VLOOKUP(D30,D$22:D29,1,0))</f>
        <v>#N/A</v>
      </c>
      <c r="F30" s="216" t="n">
        <f aca="false">($B30*$B$7+$C30*$C$7)/100</f>
        <v>0.00445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Fissidens viridulus   </v>
      </c>
      <c r="L30" s="222"/>
      <c r="M30" s="222"/>
      <c r="N30" s="222"/>
      <c r="O30" s="223"/>
      <c r="P30" s="206" t="n">
        <f aca="false">IF(ISTEXT(H30),"",(B30*$B$7/100)+(C30*$C$7/100))</f>
        <v>0.00445</v>
      </c>
      <c r="Q30" s="207" t="n">
        <f aca="false">IF(OR(ISTEXT(H30),P30=0),"",IF(P30&lt;0.1,1,IF(P30&lt;1,2,IF(P30&lt;10,3,IF(P30&lt;50,4,IF(P30&gt;=50,5,""))))))</f>
        <v>1</v>
      </c>
      <c r="R30" s="207" t="n">
        <f aca="false">IF(ISERROR(Q30*I30),0,Q30*I30)</f>
        <v>11</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FIS.VIR</v>
      </c>
      <c r="Y30" s="8" t="n">
        <f aca="false">IF(ISERROR(MATCH(A30,'[1]liste reference'!$A$7:$A$906,0)),IF(ISERROR(MATCH(A30,'[1]liste reference'!$B$7:$B$906,0)),"",(MATCH(A30,'[1]liste reference'!$B$7:$B$906,0))),(MATCH(A30,'[1]liste reference'!$A$7:$A$906,0)))</f>
        <v>210</v>
      </c>
      <c r="Z30" s="210"/>
      <c r="AA30" s="211"/>
      <c r="BB30" s="8" t="n">
        <f aca="false">IF(A30="","",1)</f>
        <v>1</v>
      </c>
    </row>
    <row r="31" customFormat="false" ht="12.75" hidden="false" customHeight="false" outlineLevel="0" collapsed="false">
      <c r="A31" s="212" t="s">
        <v>81</v>
      </c>
      <c r="B31" s="213" t="n">
        <v>7</v>
      </c>
      <c r="C31" s="214" t="n">
        <v>0.005</v>
      </c>
      <c r="D31" s="215" t="str">
        <f aca="false">IF(ISERROR(VLOOKUP($A31,'[1]liste reference'!$A$7:$D$906,2,0)),IF(ISERROR(VLOOKUP($A31,'[1]liste reference'!$B$7:$D$906,1,0)),"",VLOOKUP($A31,'[1]liste reference'!$B$7:$D$906,1,0)),VLOOKUP($A31,'[1]liste reference'!$A$7:$D$906,2,0))</f>
        <v>Fontinalis antipyretica</v>
      </c>
      <c r="E31" s="215" t="e">
        <f aca="false">IF(D31="",0,VLOOKUP(D31,D$22:D30,1,0))</f>
        <v>#N/A</v>
      </c>
      <c r="F31" s="216" t="n">
        <f aca="false">($B31*$B$7+$C31*$C$7)/100</f>
        <v>0.77445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Fontinalis antipyretica</v>
      </c>
      <c r="L31" s="222"/>
      <c r="M31" s="222"/>
      <c r="N31" s="222"/>
      <c r="O31" s="223"/>
      <c r="P31" s="206" t="n">
        <f aca="false">IF(ISTEXT(H31),"",(B31*$B$7/100)+(C31*$C$7/100))</f>
        <v>0.77445</v>
      </c>
      <c r="Q31" s="207" t="n">
        <f aca="false">IF(OR(ISTEXT(H31),P31=0),"",IF(P31&lt;0.1,1,IF(P31&lt;1,2,IF(P31&lt;10,3,IF(P31&lt;50,4,IF(P31&gt;=50,5,""))))))</f>
        <v>2</v>
      </c>
      <c r="R31" s="207" t="n">
        <f aca="false">IF(ISERROR(Q31*I31),0,Q31*I31)</f>
        <v>20</v>
      </c>
      <c r="S31" s="207" t="n">
        <f aca="false">IF(ISERROR(Q31*I31*J31),0,Q31*I31*J31)</f>
        <v>20</v>
      </c>
      <c r="T31" s="221" t="n">
        <f aca="false">IF(ISERROR(Q31*J31),0,Q31*J31)</f>
        <v>2</v>
      </c>
      <c r="U31" s="208" t="str">
        <f aca="false">IF(AND(A31="",F31=0),"",IF(F31=0,"Il manque le(s) % de rec. !",""))</f>
        <v/>
      </c>
      <c r="V31" s="209"/>
      <c r="X31" s="207" t="str">
        <f aca="false">IF(A31="new.cod","NEW.COD",IF(AND((Y31=""),ISTEXT(A31)),A31,IF(Y31="","",INDEX('[1]liste reference'!$A$7:$A$906,Y31))))</f>
        <v>FON.ANT</v>
      </c>
      <c r="Y31" s="8" t="n">
        <f aca="false">IF(ISERROR(MATCH(A31,'[1]liste reference'!$A$7:$A$906,0)),IF(ISERROR(MATCH(A31,'[1]liste reference'!$B$7:$B$906,0)),"",(MATCH(A31,'[1]liste reference'!$B$7:$B$906,0))),(MATCH(A31,'[1]liste reference'!$A$7:$A$906,0)))</f>
        <v>211</v>
      </c>
      <c r="Z31" s="210"/>
      <c r="AA31" s="211"/>
      <c r="BB31" s="8" t="n">
        <f aca="false">IF(A31="","",1)</f>
        <v>1</v>
      </c>
    </row>
    <row r="32" customFormat="false" ht="12.75" hidden="false" customHeight="false" outlineLevel="0" collapsed="false">
      <c r="A32" s="212" t="s">
        <v>82</v>
      </c>
      <c r="B32" s="213" t="n">
        <v>0.005</v>
      </c>
      <c r="C32" s="214" t="n">
        <v>0.005</v>
      </c>
      <c r="D32" s="215" t="str">
        <f aca="false">IF(ISERROR(VLOOKUP($A32,'[1]liste reference'!$A$7:$D$906,2,0)),IF(ISERROR(VLOOKUP($A32,'[1]liste reference'!$B$7:$D$906,1,0)),"",VLOOKUP($A32,'[1]liste reference'!$B$7:$D$906,1,0)),VLOOKUP($A32,'[1]liste reference'!$A$7:$D$906,2,0))</f>
        <v>Octodiceras fontanum</v>
      </c>
      <c r="E32" s="215" t="e">
        <f aca="false">IF(D32="",0,VLOOKUP(D32,D$22:D31,1,0))</f>
        <v>#N/A</v>
      </c>
      <c r="F32" s="216" t="n">
        <f aca="false">($B32*$B$7+$C32*$C$7)/100</f>
        <v>0.005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7</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Octodiceras fontanum</v>
      </c>
      <c r="L32" s="222"/>
      <c r="M32" s="222"/>
      <c r="N32" s="222"/>
      <c r="O32" s="223"/>
      <c r="P32" s="206" t="n">
        <f aca="false">IF(ISTEXT(H32),"",(B32*$B$7/100)+(C32*$C$7/100))</f>
        <v>0.005</v>
      </c>
      <c r="Q32" s="207" t="n">
        <f aca="false">IF(OR(ISTEXT(H32),P32=0),"",IF(P32&lt;0.1,1,IF(P32&lt;1,2,IF(P32&lt;10,3,IF(P32&lt;50,4,IF(P32&gt;=50,5,""))))))</f>
        <v>1</v>
      </c>
      <c r="R32" s="207" t="n">
        <f aca="false">IF(ISERROR(Q32*I32),0,Q32*I32)</f>
        <v>7</v>
      </c>
      <c r="S32" s="207" t="n">
        <f aca="false">IF(ISERROR(Q32*I32*J32),0,Q32*I32*J32)</f>
        <v>21</v>
      </c>
      <c r="T32" s="221" t="n">
        <f aca="false">IF(ISERROR(Q32*J32),0,Q32*J32)</f>
        <v>3</v>
      </c>
      <c r="U32" s="208" t="str">
        <f aca="false">IF(AND(A32="",F32=0),"",IF(F32=0,"Il manque le(s) % de rec. !",""))</f>
        <v/>
      </c>
      <c r="V32" s="209"/>
      <c r="X32" s="207" t="str">
        <f aca="false">IF(A32="new.cod","NEW.COD",IF(AND((Y32=""),ISTEXT(A32)),A32,IF(Y32="","",INDEX('[1]liste reference'!$A$7:$A$906,Y32))))</f>
        <v>OCT.FON</v>
      </c>
      <c r="Y32" s="8" t="n">
        <f aca="false">IF(ISERROR(MATCH(A32,'[1]liste reference'!$A$7:$A$906,0)),IF(ISERROR(MATCH(A32,'[1]liste reference'!$B$7:$B$906,0)),"",(MATCH(A32,'[1]liste reference'!$B$7:$B$906,0))),(MATCH(A32,'[1]liste reference'!$A$7:$A$906,0)))</f>
        <v>229</v>
      </c>
      <c r="Z32" s="210"/>
      <c r="AA32" s="211"/>
      <c r="BB32" s="8" t="n">
        <f aca="false">IF(A32="","",1)</f>
        <v>1</v>
      </c>
    </row>
    <row r="33" customFormat="false" ht="12.75" hidden="false" customHeight="false" outlineLevel="0" collapsed="false">
      <c r="A33" s="212" t="s">
        <v>83</v>
      </c>
      <c r="B33" s="213" t="n">
        <v>1</v>
      </c>
      <c r="C33" s="214"/>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0.11</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2"/>
      <c r="M33" s="222"/>
      <c r="N33" s="222"/>
      <c r="O33" s="223"/>
      <c r="P33" s="206" t="n">
        <f aca="false">IF(ISTEXT(H33),"",(B33*$B$7/100)+(C33*$C$7/100))</f>
        <v>0.11</v>
      </c>
      <c r="Q33" s="207" t="n">
        <f aca="false">IF(OR(ISTEXT(H33),P33=0),"",IF(P33&lt;0.1,1,IF(P33&lt;1,2,IF(P33&lt;10,3,IF(P33&lt;50,4,IF(P33&gt;=50,5,""))))))</f>
        <v>2</v>
      </c>
      <c r="R33" s="207" t="n">
        <f aca="false">IF(ISERROR(Q33*I33),0,Q33*I33)</f>
        <v>24</v>
      </c>
      <c r="S33" s="207" t="n">
        <f aca="false">IF(ISERROR(Q33*I33*J33),0,Q33*I33*J33)</f>
        <v>24</v>
      </c>
      <c r="T33" s="221" t="n">
        <f aca="false">IF(ISERROR(Q33*J33),0,Q33*J33)</f>
        <v>2</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75" hidden="false" customHeight="false" outlineLevel="0" collapsed="false">
      <c r="A34" s="212" t="s">
        <v>84</v>
      </c>
      <c r="B34" s="213" t="n">
        <v>0.35</v>
      </c>
      <c r="C34" s="214"/>
      <c r="D34" s="215" t="str">
        <f aca="false">IF(ISERROR(VLOOKUP($A34,'[1]liste reference'!$A$7:$D$906,2,0)),IF(ISERROR(VLOOKUP($A34,'[1]liste reference'!$B$7:$D$906,1,0)),"",VLOOKUP($A34,'[1]liste reference'!$B$7:$D$906,1,0)),VLOOKUP($A34,'[1]liste reference'!$A$7:$D$906,2,0))</f>
        <v>Ranunculus fluitans</v>
      </c>
      <c r="E34" s="215" t="e">
        <f aca="false">IF(D34="",0,VLOOKUP(D34,D$22:D33,1,0))</f>
        <v>#N/A</v>
      </c>
      <c r="F34" s="225" t="n">
        <f aca="false">($B34*$B$7+$C34*$C$7)/100</f>
        <v>0.0385</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Ranunculus fluitans</v>
      </c>
      <c r="L34" s="222"/>
      <c r="M34" s="222"/>
      <c r="N34" s="222"/>
      <c r="O34" s="223" t="s">
        <v>85</v>
      </c>
      <c r="P34" s="206" t="n">
        <f aca="false">IF(ISTEXT(H34),"",(B34*$B$7/100)+(C34*$C$7/100))</f>
        <v>0.0385</v>
      </c>
      <c r="Q34" s="207" t="n">
        <f aca="false">IF(OR(ISTEXT(H34),P34=0),"",IF(P34&lt;0.1,1,IF(P34&lt;1,2,IF(P34&lt;10,3,IF(P34&lt;50,4,IF(P34&gt;=50,5,""))))))</f>
        <v>1</v>
      </c>
      <c r="R34" s="207" t="n">
        <f aca="false">IF(ISERROR(Q34*I34),0,Q34*I34)</f>
        <v>10</v>
      </c>
      <c r="S34" s="207" t="n">
        <f aca="false">IF(ISERROR(Q34*I34*J34),0,Q34*I34*J34)</f>
        <v>20</v>
      </c>
      <c r="T34" s="221" t="n">
        <f aca="false">IF(ISERROR(Q34*J34),0,Q34*J34)</f>
        <v>2</v>
      </c>
      <c r="U34" s="208" t="str">
        <f aca="false">IF(AND(A34="",F34=0),"",IF(F34=0,"Il manque le(s) % de rec. !",""))</f>
        <v/>
      </c>
      <c r="V34" s="209"/>
      <c r="X34" s="207" t="str">
        <f aca="false">IF(A34="new.cod","NEW.COD",IF(AND((Y34=""),ISTEXT(A34)),A34,IF(Y34="","",INDEX('[1]liste reference'!$A$7:$A$906,Y34))))</f>
        <v>RAN.FLU</v>
      </c>
      <c r="Y34" s="8" t="n">
        <f aca="false">IF(ISERROR(MATCH(A34,'[1]liste reference'!$A$7:$A$906,0)),IF(ISERROR(MATCH(A34,'[1]liste reference'!$B$7:$B$906,0)),"",(MATCH(A34,'[1]liste reference'!$B$7:$B$906,0))),(MATCH(A34,'[1]liste reference'!$A$7:$A$906,0)))</f>
        <v>460</v>
      </c>
      <c r="Z34" s="210" t="s">
        <v>85</v>
      </c>
      <c r="AA34" s="211"/>
      <c r="BB34" s="8" t="n">
        <f aca="false">IF(A34="","",1)</f>
        <v>1</v>
      </c>
    </row>
    <row r="35" customFormat="false" ht="12.75" hidden="false" customHeight="false" outlineLevel="0" collapsed="false">
      <c r="A35" s="212" t="s">
        <v>86</v>
      </c>
      <c r="B35" s="213" t="n">
        <v>0.01</v>
      </c>
      <c r="C35" s="214"/>
      <c r="D35" s="215" t="str">
        <f aca="false">IF(ISERROR(VLOOKUP($A35,'[1]liste reference'!$A$7:$D$906,2,0)),IF(ISERROR(VLOOKUP($A35,'[1]liste reference'!$B$7:$D$906,1,0)),"",VLOOKUP($A35,'[1]liste reference'!$B$7:$D$906,1,0)),VLOOKUP($A35,'[1]liste reference'!$A$7:$D$906,2,0))</f>
        <v>Agrostis stolonifera</v>
      </c>
      <c r="E35" s="215" t="e">
        <f aca="false">IF(D35="",0,VLOOKUP(D35,D$22:D34,1,0))</f>
        <v>#N/A</v>
      </c>
      <c r="F35" s="225" t="n">
        <f aca="false">($B35*$B$7+$C35*$C$7)/100</f>
        <v>0.0011</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2"/>
      <c r="M35" s="222"/>
      <c r="N35" s="222"/>
      <c r="O35" s="223"/>
      <c r="P35" s="206" t="n">
        <f aca="false">IF(ISTEXT(H35),"",(B35*$B$7/100)+(C35*$C$7/100))</f>
        <v>0.0011</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75" hidden="false" customHeight="false" outlineLevel="0" collapsed="false">
      <c r="A36" s="212" t="s">
        <v>87</v>
      </c>
      <c r="B36" s="213" t="n">
        <v>0.01</v>
      </c>
      <c r="C36" s="214"/>
      <c r="D36" s="215" t="str">
        <f aca="false">IF(ISERROR(VLOOKUP($A36,'[1]liste reference'!$A$7:$D$906,2,0)),IF(ISERROR(VLOOKUP($A36,'[1]liste reference'!$B$7:$D$906,1,0)),"",VLOOKUP($A36,'[1]liste reference'!$B$7:$D$906,1,0)),VLOOKUP($A36,'[1]liste reference'!$A$7:$D$906,2,0))</f>
        <v>Phalaris arundinacea</v>
      </c>
      <c r="E36" s="215" t="e">
        <f aca="false">IF(D36="",0,VLOOKUP(D36,D$22:D35,1,0))</f>
        <v>#N/A</v>
      </c>
      <c r="F36" s="225" t="n">
        <f aca="false">($B36*$B$7+$C36*$C$7)/100</f>
        <v>0.0011</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Phalaris arundinacea</v>
      </c>
      <c r="L36" s="222"/>
      <c r="M36" s="222"/>
      <c r="N36" s="222"/>
      <c r="O36" s="223"/>
      <c r="P36" s="206" t="n">
        <f aca="false">IF(ISTEXT(H36),"",(B36*$B$7/100)+(C36*$C$7/100))</f>
        <v>0.0011</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X36" s="207" t="str">
        <f aca="false">IF(A36="new.cod","NEW.COD",IF(AND((Y36=""),ISTEXT(A36)),A36,IF(Y36="","",INDEX('[1]liste reference'!$A$7:$A$906,Y36))))</f>
        <v>PHA.ARU</v>
      </c>
      <c r="Y36" s="8" t="n">
        <f aca="false">IF(ISERROR(MATCH(A36,'[1]liste reference'!$A$7:$A$906,0)),IF(ISERROR(MATCH(A36,'[1]liste reference'!$B$7:$B$906,0)),"",(MATCH(A36,'[1]liste reference'!$B$7:$B$906,0))),(MATCH(A36,'[1]liste reference'!$A$7:$A$906,0)))</f>
        <v>640</v>
      </c>
      <c r="Z36" s="210"/>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2"/>
      <c r="M37" s="222"/>
      <c r="N37" s="222"/>
      <c r="O37" s="223"/>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2"/>
      <c r="M38" s="222"/>
      <c r="N38" s="222"/>
      <c r="O38" s="223"/>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2"/>
      <c r="M39" s="222"/>
      <c r="N39" s="222"/>
      <c r="O39" s="223"/>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2"/>
      <c r="M40" s="222"/>
      <c r="N40" s="222"/>
      <c r="O40" s="223"/>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2"/>
      <c r="M41" s="222"/>
      <c r="N41" s="222"/>
      <c r="O41" s="223"/>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2"/>
      <c r="M42" s="222"/>
      <c r="N42" s="222"/>
      <c r="O42" s="223"/>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2"/>
      <c r="M43" s="222"/>
      <c r="N43" s="222"/>
      <c r="O43" s="223"/>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2"/>
      <c r="M44" s="222"/>
      <c r="N44" s="222"/>
      <c r="O44" s="223"/>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2"/>
      <c r="M45" s="222"/>
      <c r="N45" s="222"/>
      <c r="O45" s="223"/>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2"/>
      <c r="M46" s="222"/>
      <c r="N46" s="222"/>
      <c r="O46" s="223"/>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2"/>
      <c r="M47" s="222"/>
      <c r="N47" s="222"/>
      <c r="O47" s="223"/>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2"/>
      <c r="M48" s="222"/>
      <c r="N48" s="222"/>
      <c r="O48" s="223"/>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2"/>
      <c r="M49" s="222"/>
      <c r="N49" s="222"/>
      <c r="O49" s="223"/>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2"/>
      <c r="M50" s="222"/>
      <c r="N50" s="222"/>
      <c r="O50" s="223"/>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2"/>
      <c r="M51" s="222"/>
      <c r="N51" s="222"/>
      <c r="O51" s="223"/>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2"/>
      <c r="M52" s="222"/>
      <c r="N52" s="222"/>
      <c r="O52" s="223"/>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2"/>
      <c r="M53" s="222"/>
      <c r="N53" s="222"/>
      <c r="O53" s="223"/>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2"/>
      <c r="M54" s="222"/>
      <c r="N54" s="222"/>
      <c r="O54" s="223"/>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2"/>
      <c r="M55" s="222"/>
      <c r="N55" s="222"/>
      <c r="O55" s="223"/>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2"/>
      <c r="M56" s="222"/>
      <c r="N56" s="222"/>
      <c r="O56" s="223"/>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2"/>
      <c r="M57" s="222"/>
      <c r="N57" s="222"/>
      <c r="O57" s="223"/>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2"/>
      <c r="M58" s="222"/>
      <c r="N58" s="222"/>
      <c r="O58" s="223"/>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2"/>
      <c r="M59" s="222"/>
      <c r="N59" s="222"/>
      <c r="O59" s="223"/>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2"/>
      <c r="M60" s="222"/>
      <c r="N60" s="222"/>
      <c r="O60" s="223"/>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2"/>
      <c r="M61" s="222"/>
      <c r="N61" s="222"/>
      <c r="O61" s="223"/>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2"/>
      <c r="M62" s="222"/>
      <c r="N62" s="222"/>
      <c r="O62" s="223"/>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2"/>
      <c r="M63" s="222"/>
      <c r="N63" s="222"/>
      <c r="O63" s="223"/>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2"/>
      <c r="M64" s="222"/>
      <c r="N64" s="222"/>
      <c r="O64" s="223"/>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2"/>
      <c r="M65" s="222"/>
      <c r="N65" s="222"/>
      <c r="O65" s="223"/>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2"/>
      <c r="M66" s="222"/>
      <c r="N66" s="222"/>
      <c r="O66" s="223"/>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2"/>
      <c r="M67" s="222"/>
      <c r="N67" s="222"/>
      <c r="O67" s="223"/>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2"/>
      <c r="M68" s="222"/>
      <c r="N68" s="222"/>
      <c r="O68" s="223"/>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2"/>
      <c r="M69" s="222"/>
      <c r="N69" s="222"/>
      <c r="O69" s="223"/>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2"/>
      <c r="M70" s="222"/>
      <c r="N70" s="222"/>
      <c r="O70" s="223"/>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2"/>
      <c r="M71" s="222"/>
      <c r="N71" s="222"/>
      <c r="O71" s="223"/>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2"/>
      <c r="M72" s="222"/>
      <c r="N72" s="222"/>
      <c r="O72" s="223"/>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2"/>
      <c r="M73" s="222"/>
      <c r="N73" s="222"/>
      <c r="O73" s="223"/>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2"/>
      <c r="M74" s="222"/>
      <c r="N74" s="222"/>
      <c r="O74" s="223"/>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2"/>
      <c r="M75" s="222"/>
      <c r="N75" s="222"/>
      <c r="O75" s="223"/>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2"/>
      <c r="M76" s="222"/>
      <c r="N76" s="222"/>
      <c r="O76" s="223"/>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2"/>
      <c r="M77" s="222"/>
      <c r="N77" s="222"/>
      <c r="O77" s="223"/>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2"/>
      <c r="M78" s="222"/>
      <c r="N78" s="222"/>
      <c r="O78" s="223"/>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2"/>
      <c r="M79" s="222"/>
      <c r="N79" s="222"/>
      <c r="O79" s="223"/>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2"/>
      <c r="M80" s="222"/>
      <c r="N80" s="222"/>
      <c r="O80" s="223"/>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23"/>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88</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AIX</v>
      </c>
      <c r="B84" s="246" t="str">
        <f aca="false">C3</f>
        <v>Saint Georges de Baroille</v>
      </c>
      <c r="C84" s="247" t="n">
        <f aca="false">A4</f>
        <v>40416</v>
      </c>
      <c r="D84" s="248" t="n">
        <f aca="false">IF(ISERROR(SUM($S$23:$S$82)/SUM($T$23:$T$82)),"",SUM($S$23:$S$82)/SUM($T$23:$T$82))</f>
        <v>10.9285714285714</v>
      </c>
      <c r="E84" s="249" t="n">
        <f aca="false">N13</f>
        <v>14</v>
      </c>
      <c r="F84" s="250" t="n">
        <f aca="false">N14</f>
        <v>14</v>
      </c>
      <c r="G84" s="250" t="n">
        <f aca="false">N15</f>
        <v>6</v>
      </c>
      <c r="H84" s="250" t="n">
        <f aca="false">N16</f>
        <v>7</v>
      </c>
      <c r="I84" s="250" t="n">
        <f aca="false">N17</f>
        <v>1</v>
      </c>
      <c r="J84" s="251" t="n">
        <f aca="false">N8</f>
        <v>10.7142857142857</v>
      </c>
      <c r="K84" s="248" t="n">
        <f aca="false">N9</f>
        <v>2.67261241912424</v>
      </c>
      <c r="L84" s="249" t="n">
        <f aca="false">N10</f>
        <v>5</v>
      </c>
      <c r="M84" s="249" t="n">
        <f aca="false">N11</f>
        <v>15</v>
      </c>
      <c r="N84" s="248" t="n">
        <f aca="false">O8</f>
        <v>1.64285714285714</v>
      </c>
      <c r="O84" s="248" t="n">
        <f aca="false">O9</f>
        <v>0.633323693776651</v>
      </c>
      <c r="P84" s="249" t="n">
        <f aca="false">O10</f>
        <v>1</v>
      </c>
      <c r="Q84" s="249" t="n">
        <f aca="false">O11</f>
        <v>3</v>
      </c>
      <c r="R84" s="252" t="n">
        <f aca="false">F21</f>
        <v>1.17015</v>
      </c>
      <c r="S84" s="249" t="n">
        <f aca="false">K11</f>
        <v>0</v>
      </c>
      <c r="T84" s="249" t="n">
        <f aca="false">K12</f>
        <v>5</v>
      </c>
      <c r="U84" s="249" t="n">
        <f aca="false">K13</f>
        <v>6</v>
      </c>
      <c r="V84" s="253" t="n">
        <f aca="false">K14</f>
        <v>0</v>
      </c>
      <c r="W84" s="254" t="n">
        <f aca="false">K15</f>
        <v>3</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89</v>
      </c>
      <c r="Q86" s="8"/>
      <c r="R86" s="208"/>
      <c r="S86" s="8"/>
      <c r="T86" s="8"/>
      <c r="U86" s="8"/>
    </row>
    <row r="87" customFormat="false" ht="12.75" hidden="true" customHeight="false" outlineLevel="0" collapsed="false">
      <c r="P87" s="8" t="s">
        <v>90</v>
      </c>
      <c r="Q87" s="8"/>
      <c r="R87" s="208" t="n">
        <f aca="false">VLOOKUP(MAX($R$23:$R$82),($R$23:$T$82),1,0)</f>
        <v>30</v>
      </c>
      <c r="S87" s="8"/>
      <c r="T87" s="8"/>
      <c r="U87" s="8"/>
    </row>
    <row r="88" customFormat="false" ht="12.75" hidden="true" customHeight="false" outlineLevel="0" collapsed="false">
      <c r="P88" s="8" t="s">
        <v>91</v>
      </c>
      <c r="Q88" s="8"/>
      <c r="R88" s="208" t="n">
        <f aca="false">VLOOKUP((R87),($R$23:$T$82),2,0)</f>
        <v>60</v>
      </c>
      <c r="S88" s="8"/>
      <c r="T88" s="8"/>
      <c r="U88" s="8"/>
    </row>
    <row r="89" customFormat="false" ht="12.75" hidden="true" customHeight="false" outlineLevel="0" collapsed="false">
      <c r="P89" s="8" t="s">
        <v>92</v>
      </c>
      <c r="Q89" s="8"/>
      <c r="R89" s="208" t="n">
        <f aca="false">VLOOKUP((R87),($R$23:$T$82),3,0)</f>
        <v>4</v>
      </c>
      <c r="S89" s="8"/>
    </row>
    <row r="90" customFormat="false" ht="12.75" hidden="true" customHeight="false" outlineLevel="0" collapsed="false">
      <c r="P90" s="8" t="s">
        <v>93</v>
      </c>
      <c r="Q90" s="8"/>
      <c r="R90" s="256" t="n">
        <f aca="false">IF(ISERROR(SUM($S$23:$S$82)/SUM($T$23:$T$82)),"",(SUM($S$23:$S$82)-R88)/(SUM($T$23:$T$82)-R89))</f>
        <v>10.25</v>
      </c>
      <c r="S90" s="8"/>
    </row>
    <row r="91" customFormat="false" ht="12.75" hidden="true" customHeight="false" outlineLevel="0" collapsed="false">
      <c r="P91" s="207" t="s">
        <v>94</v>
      </c>
      <c r="Q91" s="207"/>
      <c r="R91" s="207" t="str">
        <f aca="false">INDEX('[1]liste reference'!$A$7:$A$906,$S$91)</f>
        <v>LEA.SPX</v>
      </c>
      <c r="S91" s="8" t="n">
        <f aca="false">IF(ISERROR(MATCH($R$93,'[1]liste reference'!$A$7:$A$906,0)),MATCH($R$93,'[1]liste reference'!$B$7:$B$906,0),(MATCH($R$93,'[1]liste reference'!$A$7:$A$906,0)))</f>
        <v>35</v>
      </c>
      <c r="T91" s="244"/>
    </row>
    <row r="92" customFormat="false" ht="12.75" hidden="true" customHeight="false" outlineLevel="0" collapsed="false">
      <c r="P92" s="8" t="s">
        <v>95</v>
      </c>
      <c r="Q92" s="8"/>
      <c r="R92" s="8" t="n">
        <f aca="false">MATCH(R87,$R$23:$R$82,0)</f>
        <v>3</v>
      </c>
      <c r="S92" s="8"/>
    </row>
    <row r="93" customFormat="false" ht="12.75" hidden="true" customHeight="false" outlineLevel="0" collapsed="false">
      <c r="P93" s="207" t="s">
        <v>96</v>
      </c>
      <c r="Q93" s="8"/>
      <c r="R93" s="207" t="str">
        <f aca="false">INDEX($A$23:$A$82,$R$92)</f>
        <v>LEA.SPX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2024-03-13T18:55:54Z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