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-Dompierre" sheetId="1" state="visible" r:id="rId3"/>
  </sheets>
  <externalReferences>
    <externalReference r:id="rId4"/>
  </externalReferences>
  <definedNames>
    <definedName function="false" hidden="false" localSheetId="0" name="Excel_BuiltIn_Print_Area" vbProcedure="false">'Besbre-Dompierre'!$A$1:$O$82</definedName>
    <definedName function="false" hidden="false" localSheetId="0" name="Excel_BuiltIn__FilterDatabase" vbProcedure="false">'Besbre-Dompierre'!$A$23:$J$84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<sst xmlns="http://schemas.openxmlformats.org/spreadsheetml/2006/main" count="93" uniqueCount="89">
  <si>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</si>
  <si>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</si>
  <si>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</si>
  <si>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</si>
  <si>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</si>
  <si>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Besbre</t>
  </si>
  <si>
    <t xml:space="preserve">Dompierre sur Besbre</t>
  </si>
  <si>
    <t xml:space="preserve">04023000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</si>
  <si>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</si>
  <si>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</si>
  <si>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</si>
  <si>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</si>
  <si>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</si>
  <si>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</si>
  <si>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</si>
  <si>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STI.SPX</t>
  </si>
  <si>
    <t xml:space="preserve">Type de faciès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</si>
  <si>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</si>
  <si>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</si>
  <si>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</si>
  <si>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</si>
  <si>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</si>
  <si>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</si>
  <si>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</si>
  <si>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</si>
  <si>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</si>
  <si>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</si>
  <si>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</si>
  <si>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</si>
  <si>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</si>
  <si>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</si>
  <si>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</si>
  <si>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</si>
  <si>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</si>
  <si>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</si>
  <si>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</si>
  <si>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</si>
  <si>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</si>
  <si>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</si>
  <si>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</si>
  <si>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</si>
  <si>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</si>
  <si>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</si>
  <si>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</si>
  <si>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</si>
  <si>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</si>
  <si>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</si>
  <si>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</si>
  <si>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</si>
  <si>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</si>
  <si>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</si>
  <si>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</si>
  <si>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</si>
  <si>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</si>
  <si>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</si>
  <si>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</si>
  <si>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</si>
  <si>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</si>
  <si>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</si>
  <si>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</si>
  <si>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</si>
  <si>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</si>
  <si>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</si>
  <si>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</si>
  <si>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</si>
  <si>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</si>
  <si>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</si>
  <si>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</si>
  <si>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</si>
  <si>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</si>
  <si>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</si>
  <si>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</si>
  <si>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</si>
  <si>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MEL.SPX</t>
  </si>
  <si>
    <t xml:space="preserve">OSC.SPX</t>
  </si>
  <si>
    <t xml:space="preserve">AMB.RIP</t>
  </si>
  <si>
    <t xml:space="preserve">FON.ANT</t>
  </si>
  <si>
    <t xml:space="preserve">POL.HYD</t>
  </si>
  <si>
    <t xml:space="preserve">ROR.AMP</t>
  </si>
  <si>
    <t xml:space="preserve">CAR.SPX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</si>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</sst>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40402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9.2</v>
      </c>
      <c r="M5" s="51"/>
      <c r="N5" s="52" t="s">
        <v>15</v>
      </c>
      <c r="O5" s="53" t="n">
        <v>8.25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9.42857142857143</v>
      </c>
      <c r="O8" s="82" t="n">
        <f aca="false">AVERAGE(J23:J82)</f>
        <v>1.42857142857143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2.50713268211203</v>
      </c>
      <c r="O9" s="82" t="n">
        <f aca="false">STDEV(J23:J82)</f>
        <v>0.534522483824849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13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0.05</v>
      </c>
      <c r="C12" s="117"/>
      <c r="D12" s="109"/>
      <c r="E12" s="109"/>
      <c r="F12" s="110" t="n">
        <f aca="false">($B12*$B$7+$C12*$C$7)/100</f>
        <v>0.05</v>
      </c>
      <c r="G12" s="118"/>
      <c r="H12" s="66"/>
      <c r="I12" s="119" t="s">
        <v>36</v>
      </c>
      <c r="J12" s="119"/>
      <c r="K12" s="113" t="n">
        <f aca="false">COUNTIF($G$23:$G$82,"=ALG")</f>
        <v>3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0.02</v>
      </c>
      <c r="C13" s="117"/>
      <c r="D13" s="109"/>
      <c r="E13" s="109"/>
      <c r="F13" s="110" t="n">
        <f aca="false">($B13*$B$7+$C13*$C$7)/100</f>
        <v>0.02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2</v>
      </c>
      <c r="L13" s="114"/>
      <c r="M13" s="124" t="s">
        <v>39</v>
      </c>
      <c r="N13" s="125" t="n">
        <f aca="false">COUNTIF(F23:F82,"&gt;0")</f>
        <v>8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7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0.03</v>
      </c>
      <c r="C15" s="132"/>
      <c r="D15" s="109"/>
      <c r="E15" s="109"/>
      <c r="F15" s="110" t="n">
        <f aca="false">($B15*$B$7+$C15*$C$7)/100</f>
        <v>0.03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3</v>
      </c>
      <c r="L15" s="114"/>
      <c r="M15" s="133" t="s">
        <v>45</v>
      </c>
      <c r="N15" s="134" t="n">
        <f aca="false">COUNTIF(J23:J82,"=1")</f>
        <v>4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3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0.07</v>
      </c>
      <c r="C17" s="117"/>
      <c r="D17" s="109"/>
      <c r="E17" s="109"/>
      <c r="F17" s="139"/>
      <c r="G17" s="110" t="n">
        <f aca="false">($B17*$B$7+$C17*$C$7)/100</f>
        <v>0.07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0.03</v>
      </c>
      <c r="C18" s="142"/>
      <c r="D18" s="109"/>
      <c r="E18" s="143" t="s">
        <v>51</v>
      </c>
      <c r="F18" s="139"/>
      <c r="G18" s="110" t="n">
        <f aca="false">($B18*$B$7+$C18*$C$7)/100</f>
        <v>0.03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0.1</v>
      </c>
      <c r="G19" s="151" t="n">
        <f aca="false">SUM(G16:G18)</f>
        <v>0.1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0.1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0.1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0.1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0.1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15</v>
      </c>
      <c r="B23" s="195" t="n">
        <v>0.02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Stigeoclonium sp.</v>
      </c>
      <c r="E23" s="197" t="e">
        <f aca="false">IF(D23="",0,VLOOKUP(D23,D$22:D22,1,0))</f>
        <v>#N/A</v>
      </c>
      <c r="F23" s="198" t="n">
        <f aca="false">($B23*$B$7+$C23*$C$7)/100</f>
        <v>0.02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13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Stigeoclonium sp.</v>
      </c>
      <c r="L23" s="204"/>
      <c r="M23" s="204"/>
      <c r="N23" s="204"/>
      <c r="O23" s="205"/>
      <c r="P23" s="206" t="n">
        <f aca="false">IF(ISTEXT(H23),"",(B23*$B$7/100)+(C23*$C$7/100))</f>
        <v>0.02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13</v>
      </c>
      <c r="S23" s="207" t="n">
        <f aca="false">IF(ISERROR(Q23*I23*J23),0,Q23*I23*J23)</f>
        <v>26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STI.SPX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72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73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10</v>
      </c>
      <c r="S24" s="207" t="n">
        <f aca="false">IF(ISERROR(Q24*I24*J24),0,Q24*I24*J24)</f>
        <v>10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MEL.SPX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74</v>
      </c>
      <c r="B25" s="213" t="n">
        <v>0.02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Oscillatoria sp.       </v>
      </c>
      <c r="E25" s="215" t="e">
        <f aca="false">IF(D25="",0,VLOOKUP(D25,D$22:D24,1,0))</f>
        <v>#N/A</v>
      </c>
      <c r="F25" s="216" t="n">
        <f aca="false">($B25*$B$7+$C25*$C$7)/100</f>
        <v>0.02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11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Oscillatoria sp.       </v>
      </c>
      <c r="L25" s="220"/>
      <c r="M25" s="220"/>
      <c r="N25" s="220"/>
      <c r="O25" s="205"/>
      <c r="P25" s="206" t="n">
        <f aca="false">IF(ISTEXT(H25),"",(B25*$B$7/100)+(C25*$C$7/100))</f>
        <v>0.02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11</v>
      </c>
      <c r="S25" s="207" t="n">
        <f aca="false">IF(ISERROR(Q25*I25*J25),0,Q25*I25*J25)</f>
        <v>11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OSC.SPX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57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Amblystegium riparium (Leptodictyum riparium)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Amblystegium riparium (Leptodictyum riparium)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5</v>
      </c>
      <c r="S26" s="207" t="n">
        <f aca="false">IF(ISERROR(Q26*I26*J26),0,Q26*I26*J26)</f>
        <v>10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AMB.RIP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149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antipyretica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antipyretica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10</v>
      </c>
      <c r="S27" s="207" t="n">
        <f aca="false">IF(ISERROR(Q27*I27*J27),0,Q27*I27*J27)</f>
        <v>10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FON.ANT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211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Polygonum hydropiper (Persicaria hydropiper)</v>
      </c>
      <c r="E28" s="215" t="e">
        <f aca="false">IF(D28="",0,VLOOKUP(D28,D$22:D27,1,0))</f>
        <v>#N/A</v>
      </c>
      <c r="F28" s="216" t="n">
        <f aca="false">($B28*$B$7+$C28*$C$7)/100</f>
        <v>0.01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PHe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8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8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Polygonum hydropiper (Persicaria hydropiper)</v>
      </c>
      <c r="L28" s="220"/>
      <c r="M28" s="220"/>
      <c r="N28" s="220"/>
      <c r="O28" s="205"/>
      <c r="P28" s="206" t="n">
        <f aca="false">IF(ISTEXT(H28),"",(B28*$B$7/100)+(C28*$C$7/100))</f>
        <v>0.01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8</v>
      </c>
      <c r="S28" s="207" t="n">
        <f aca="false">IF(ISERROR(Q28*I28*J28),0,Q28*I28*J28)</f>
        <v>16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POL.HYD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643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Rorippa amphibia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9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Rorippa amphibia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9</v>
      </c>
      <c r="S29" s="207" t="n">
        <f aca="false">IF(ISERROR(Q29*I29*J29),0,Q29*I29*J29)</f>
        <v>9</v>
      </c>
      <c r="T29" s="221" t="n">
        <f aca="false">IF(ISERROR(Q29*J29),0,Q29*J29)</f>
        <v>1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ROR.AMP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651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79</v>
      </c>
      <c r="B30" s="213" t="n">
        <v>0.01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Carex sp.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Carex sp.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CAR.SPX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551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80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Besbre</v>
      </c>
      <c r="B84" s="246" t="str">
        <f aca="false">C3</f>
        <v>Dompierre sur Besbre</v>
      </c>
      <c r="C84" s="247" t="n">
        <f aca="false">A4</f>
        <v>40402</v>
      </c>
      <c r="D84" s="248" t="n">
        <f aca="false">IF(ISERROR(SUM($S$23:$S$82)/SUM($T$23:$T$82)),"",SUM($S$23:$S$82)/SUM($T$23:$T$82))</f>
        <v>9.2</v>
      </c>
      <c r="E84" s="249" t="n">
        <f aca="false">N13</f>
        <v>8</v>
      </c>
      <c r="F84" s="246" t="n">
        <f aca="false">N14</f>
        <v>7</v>
      </c>
      <c r="G84" s="246" t="n">
        <f aca="false">N15</f>
        <v>4</v>
      </c>
      <c r="H84" s="246" t="n">
        <f aca="false">N16</f>
        <v>3</v>
      </c>
      <c r="I84" s="246" t="n">
        <f aca="false">N17</f>
        <v>0</v>
      </c>
      <c r="J84" s="250" t="n">
        <f aca="false">N8</f>
        <v>9.42857142857143</v>
      </c>
      <c r="K84" s="248" t="n">
        <f aca="false">N9</f>
        <v>2.50713268211203</v>
      </c>
      <c r="L84" s="249" t="n">
        <f aca="false">N10</f>
        <v>5</v>
      </c>
      <c r="M84" s="249" t="n">
        <f aca="false">N11</f>
        <v>13</v>
      </c>
      <c r="N84" s="248" t="n">
        <f aca="false">O8</f>
        <v>1.42857142857143</v>
      </c>
      <c r="O84" s="248" t="n">
        <f aca="false">O9</f>
        <v>0.534522483824849</v>
      </c>
      <c r="P84" s="249" t="n">
        <f aca="false">O10</f>
        <v>1</v>
      </c>
      <c r="Q84" s="249" t="n">
        <f aca="false">O11</f>
        <v>2</v>
      </c>
      <c r="R84" s="251" t="n">
        <f aca="false">F21</f>
        <v>0.1</v>
      </c>
      <c r="S84" s="249" t="n">
        <f aca="false">K11</f>
        <v>0</v>
      </c>
      <c r="T84" s="249" t="n">
        <f aca="false">K12</f>
        <v>3</v>
      </c>
      <c r="U84" s="249" t="n">
        <f aca="false">K13</f>
        <v>2</v>
      </c>
      <c r="V84" s="252" t="n">
        <f aca="false">K14</f>
        <v>0</v>
      </c>
      <c r="W84" s="253" t="n">
        <f aca="false">K15</f>
        <v>3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81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82</v>
      </c>
      <c r="Q87" s="8"/>
      <c r="R87" s="208" t="n">
        <f aca="false">VLOOKUP(MAX($R$23:$R$82),($R$23:$T$82),1,0)</f>
        <v>13</v>
      </c>
      <c r="S87" s="8"/>
      <c r="T87" s="8"/>
      <c r="U87" s="8"/>
    </row>
    <row r="88" customFormat="false" ht="12.75" hidden="true" customHeight="false" outlineLevel="0" collapsed="false">
      <c r="P88" s="8" t="s">
        <v>83</v>
      </c>
      <c r="Q88" s="8"/>
      <c r="R88" s="208" t="n">
        <f aca="false">VLOOKUP((R87),($R$23:$T$82),2,0)</f>
        <v>26</v>
      </c>
      <c r="S88" s="8"/>
      <c r="T88" s="8"/>
      <c r="U88" s="8"/>
    </row>
    <row r="89" customFormat="false" ht="12.75" hidden="true" customHeight="false" outlineLevel="0" collapsed="false">
      <c r="P89" s="8" t="s">
        <v>84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85</v>
      </c>
      <c r="Q90" s="8"/>
      <c r="R90" s="255" t="n">
        <f aca="false">IF(ISERROR(SUM($S$23:$S$82)/SUM($T$23:$T$82)),"",(SUM($S$23:$S$82)-R88)/(SUM($T$23:$T$82)-R89))</f>
        <v>8.25</v>
      </c>
      <c r="S90" s="8"/>
    </row>
    <row r="91" customFormat="false" ht="12.75" hidden="true" customHeight="false" outlineLevel="0" collapsed="false">
      <c r="P91" s="207" t="s">
        <v>86</v>
      </c>
      <c r="Q91" s="207"/>
      <c r="R91" s="207" t="str">
        <f aca="false">INDEX('[1]liste reference'!$A$7:$A$906,$S$91)</f>
        <v>STI.SPX</v>
      </c>
      <c r="S91" s="8" t="n">
        <f aca="false">IF(ISERROR(MATCH($R$93,'[1]liste reference'!$A$7:$A$906,0)),MATCH($R$93,'[1]liste reference'!$B$7:$B$906,0),(MATCH($R$93,'[1]liste reference'!$A$7:$A$906,0)))</f>
        <v>72</v>
      </c>
      <c r="T91" s="244"/>
    </row>
    <row r="92" customFormat="false" ht="12.75" hidden="true" customHeight="false" outlineLevel="0" collapsed="false">
      <c r="P92" s="8" t="s">
        <v>87</v>
      </c>
      <c r="Q92" s="8"/>
      <c r="R92" s="8" t="n">
        <f aca="false">MATCH(R87,$R$23:$R$82,0)</f>
        <v>1</v>
      </c>
      <c r="S92" s="8"/>
    </row>
    <row r="93" customFormat="false" ht="12.75" hidden="true" customHeight="false" outlineLevel="0" collapsed="false">
      <c r="P93" s="207" t="s">
        <v>88</v>
      </c>
      <c r="Q93" s="8"/>
      <c r="R93" s="207" t="str">
        <f aca="false">INDEX($A$23:$A$82,$R$92)</f>
        <v>STI.SPX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2024-03-13T19:04:07Z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