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ier a saint christophe" sheetId="1" state="visible" r:id="rId3"/>
  </sheets>
  <externalReferences>
    <externalReference r:id="rId4"/>
  </externalReferences>
  <definedNames>
    <definedName function="false" hidden="false" localSheetId="0" name="_xlnm.Print_Area" vbProcedure="false">'allier a saint christophe'!$A$1:$O$82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21</xdr:col>
                <xdr:colOff>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<sst xmlns="http://schemas.openxmlformats.org/spreadsheetml/2006/main" count="119" uniqueCount="113">
  <si>
    <t xml:space="preserve">Relevés floristiques aquatiques - IBMR</t>
  </si>
  <si>
    <t xml:space="preserve">GIS Macrophytes - juillet 2011</t>
  </si>
  <si>
    <t xml:space="preserve">EEC</t>
  </si>
  <si>
    <t xml:space="preserve">Marle Mickael / Agasse-Yver Florence</t>
  </si>
  <si>
    <t xml:space="preserve">conforme AFNOR T90-395 oct. 2003</t>
  </si>
  <si>
    <t xml:space="preserve">Allier</t>
  </si>
  <si>
    <t xml:space="preserve">Allier à Saint Christophe d'Allier</t>
  </si>
  <si>
    <t xml:space="preserve">04027200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</si>
  <si>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</si>
  <si>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</si>
  <si>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</si>
  <si>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</si>
  <si>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</si>
  <si>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</si>
  <si>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</si>
  <si>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</si>
  <si>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RANPEN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</si>
  <si>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</si>
  <si>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</si>
  <si>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</si>
  <si>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</si>
  <si>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</si>
  <si>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</si>
  <si>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</si>
  <si>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</si>
  <si>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</si>
  <si>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</si>
  <si>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</si>
  <si>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</si>
  <si>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</si>
  <si>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</si>
  <si>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</si>
  <si>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</si>
  <si>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</si>
  <si>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</si>
  <si>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</si>
  <si>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</si>
  <si>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</si>
  <si>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</si>
  <si>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</si>
  <si>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</si>
  <si>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</si>
  <si>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</si>
  <si>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</si>
  <si>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</si>
  <si>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</si>
  <si>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</si>
  <si>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</si>
  <si>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</si>
  <si>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</si>
  <si>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</si>
  <si>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</si>
  <si>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</si>
  <si>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</si>
  <si>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</si>
  <si>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</si>
  <si>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</si>
  <si>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</si>
  <si>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</si>
  <si>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</si>
  <si>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</si>
  <si>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</si>
  <si>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</si>
  <si>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</si>
  <si>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</si>
  <si>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</si>
  <si>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</si>
  <si>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</si>
  <si>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</si>
  <si>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</si>
  <si>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</si>
  <si>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</si>
  <si>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</si>
  <si>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</si>
  <si>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MELSPX</t>
  </si>
  <si>
    <t xml:space="preserve">OEDSPX</t>
  </si>
  <si>
    <t xml:space="preserve">SPISPX</t>
  </si>
  <si>
    <t xml:space="preserve">VAUSPX</t>
  </si>
  <si>
    <t xml:space="preserve">AMBFLU</t>
  </si>
  <si>
    <t xml:space="preserve">SCSRIV</t>
  </si>
  <si>
    <t xml:space="preserve">EQUPAL</t>
  </si>
  <si>
    <t xml:space="preserve">AGRSTO</t>
  </si>
  <si>
    <t xml:space="preserve">CARACU</t>
  </si>
  <si>
    <t xml:space="preserve">GLYFLU</t>
  </si>
  <si>
    <t xml:space="preserve">IRIPSE</t>
  </si>
  <si>
    <t xml:space="preserve">JUNEFF</t>
  </si>
  <si>
    <t xml:space="preserve">LYCEUR</t>
  </si>
  <si>
    <t xml:space="preserve">LYSVUL</t>
  </si>
  <si>
    <t xml:space="preserve">MENLON</t>
  </si>
  <si>
    <t xml:space="preserve">Cf.</t>
  </si>
  <si>
    <t xml:space="preserve">PHAARU</t>
  </si>
  <si>
    <t xml:space="preserve">POLHYD</t>
  </si>
  <si>
    <t xml:space="preserve">SPAERE</t>
  </si>
  <si>
    <t xml:space="preserve">VERBEC</t>
  </si>
  <si>
    <t xml:space="preserve">NEWCOD</t>
  </si>
  <si>
    <t xml:space="preserve">Festuca sp </t>
  </si>
  <si>
    <t xml:space="preserve">cf.</t>
  </si>
  <si>
    <t xml:space="preserve">Festuca sp</t>
  </si>
  <si>
    <t xml:space="preserve">EPIHIR</t>
  </si>
  <si>
    <t xml:space="preserve">JUNART</t>
  </si>
  <si>
    <t xml:space="preserve">JUNBUF</t>
  </si>
  <si>
    <t xml:space="preserve">POLSPX</t>
  </si>
  <si>
    <t xml:space="preserve">polygonum persicaria</t>
  </si>
  <si>
    <t xml:space="preserve">SOADUL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</si>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</sst>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4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dore a olliergues"/>
      <sheetName val="dore a dore l'eglise"/>
      <sheetName val="bedat a saint laure"/>
      <sheetName val="lithroux a culhat"/>
      <sheetName val="allier a orbeil"/>
      <sheetName val="couze pavin a saint diery"/>
      <sheetName val="alagnon a beaulieu"/>
      <sheetName val="allagnon a joursac"/>
      <sheetName val="Courbieres a pradiers"/>
      <sheetName val="senouire a st pal de senouire"/>
      <sheetName val="allier à langeac"/>
      <sheetName val="desges a desges"/>
      <sheetName val="allier a saint christophe"/>
      <sheetName val="besbre a saint prix"/>
      <sheetName val="roudon a saligny sur roudon"/>
      <sheetName val="vouzance a neuilly en donjon"/>
      <sheetName val="loire a malvalette"/>
      <sheetName val="Anse du nord a beauzac"/>
      <sheetName val="anse du nord sauvessanges"/>
      <sheetName val="lignon a pont de lignon"/>
      <sheetName val="dunieres a dunieres"/>
      <sheetName val="lignon a tence"/>
      <sheetName val="loire a saint vincent"/>
      <sheetName val="loire a coubon"/>
      <sheetName val="loire a goudet"/>
      <sheetName val="modele"/>
      <sheetName val="liste codes réf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40772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10.56</v>
      </c>
      <c r="M5" s="51"/>
      <c r="N5" s="52" t="s">
        <v>16</v>
      </c>
      <c r="O5" s="53" t="n">
        <v>10.3636363636364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10.0625</v>
      </c>
      <c r="O8" s="80" t="n">
        <f aca="false">AVERAGE(J23:J82)</f>
        <v>1.375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3.5</v>
      </c>
      <c r="C9" s="83"/>
      <c r="D9" s="84"/>
      <c r="E9" s="84"/>
      <c r="F9" s="85" t="n">
        <f aca="false">($B9*$B$7+$C9*$C$7)/100</f>
        <v>3.5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2.61963737948595</v>
      </c>
      <c r="O9" s="80" t="n">
        <f aca="false">STDEV(J23:J82)</f>
        <v>0.61913918736689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4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15</v>
      </c>
      <c r="O11" s="103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/>
      <c r="C12" s="115"/>
      <c r="D12" s="107"/>
      <c r="E12" s="107"/>
      <c r="F12" s="108" t="n">
        <f aca="false">($B12*$B$7+$C12*$C$7)/100</f>
        <v>0</v>
      </c>
      <c r="G12" s="116"/>
      <c r="H12" s="64"/>
      <c r="I12" s="117" t="s">
        <v>37</v>
      </c>
      <c r="J12" s="117"/>
      <c r="K12" s="111" t="n">
        <f aca="false">COUNTIF($G$23:$G$82,"=ALG")</f>
        <v>4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/>
      <c r="C13" s="115"/>
      <c r="D13" s="107"/>
      <c r="E13" s="107"/>
      <c r="F13" s="108" t="n">
        <f aca="false">($B13*$B$7+$C13*$C$7)/100</f>
        <v>0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2</v>
      </c>
      <c r="L13" s="112"/>
      <c r="M13" s="122" t="s">
        <v>40</v>
      </c>
      <c r="N13" s="123" t="n">
        <f aca="false">COUNTIF(F23:F82,"&gt;0")</f>
        <v>26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1</v>
      </c>
      <c r="L14" s="112"/>
      <c r="M14" s="125" t="s">
        <v>43</v>
      </c>
      <c r="N14" s="126" t="n">
        <f aca="false">COUNTIF($I$23:$I$82,"&gt;-1")</f>
        <v>16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3.5</v>
      </c>
      <c r="C15" s="130"/>
      <c r="D15" s="107"/>
      <c r="E15" s="107"/>
      <c r="F15" s="108" t="n">
        <f aca="false">($B15*$B$7+$C15*$C$7)/100</f>
        <v>3.5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18</v>
      </c>
      <c r="L15" s="112"/>
      <c r="M15" s="131" t="s">
        <v>46</v>
      </c>
      <c r="N15" s="132" t="n">
        <f aca="false">COUNTIF(J23:J82,"=1")</f>
        <v>11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4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3</v>
      </c>
      <c r="C17" s="115"/>
      <c r="D17" s="107"/>
      <c r="E17" s="107"/>
      <c r="F17" s="137"/>
      <c r="G17" s="108" t="n">
        <f aca="false">($B17*$B$7+$C17*$C$7)/100</f>
        <v>3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1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 t="n">
        <v>0.5</v>
      </c>
      <c r="C18" s="140"/>
      <c r="D18" s="107"/>
      <c r="E18" s="141" t="s">
        <v>52</v>
      </c>
      <c r="F18" s="137"/>
      <c r="G18" s="108" t="n">
        <f aca="false">($B18*$B$7+$C18*$C$7)/100</f>
        <v>0.5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3.5</v>
      </c>
      <c r="G19" s="149" t="n">
        <f aca="false">SUM(G16:G18)</f>
        <v>3.5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3.55121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3.55121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3.55121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3.55121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0.0002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Melosira sp.</v>
      </c>
      <c r="E23" s="195" t="e">
        <f aca="false">IF(D23="",,VLOOKUP(D23,D$21:D22,1,0))</f>
        <v>#N/A</v>
      </c>
      <c r="F23" s="196" t="n">
        <f aca="false">($B23*$B$7+$C23*$C$7)/100</f>
        <v>0.0002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10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Melosira sp.</v>
      </c>
      <c r="L23" s="202"/>
      <c r="M23" s="202"/>
      <c r="N23" s="202"/>
      <c r="O23" s="203"/>
      <c r="P23" s="204" t="n">
        <f aca="false">IF(ISTEXT(H23),"",(B23*$B$7/100)+(C23*$C$7/100))</f>
        <v>0.0002</v>
      </c>
      <c r="Q23" s="205" t="n">
        <f aca="false">IF(OR(ISTEXT(H23),P23=0),"",IF(P23&lt;0.1,1,IF(P23&lt;1,2,IF(P23&lt;10,3,IF(P23&lt;50,4,IF(P23&gt;=50,5,""))))))</f>
        <v>1</v>
      </c>
      <c r="R23" s="205" t="n">
        <f aca="false">IF(ISERROR(Q23*I23),0,Q23*I23)</f>
        <v>10</v>
      </c>
      <c r="S23" s="205" t="n">
        <f aca="false">IF(ISERROR(Q23*I23*J23),0,Q23*I23*J23)</f>
        <v>10</v>
      </c>
      <c r="T23" s="205" t="n">
        <f aca="false">IF(ISERROR(Q23*J23),0,Q23*J23)</f>
        <v>1</v>
      </c>
      <c r="U23" s="206" t="str">
        <f aca="false">IF(AND(A23="",F23=0),"",IF(F23=0,"Il manque le(s) % de rec. !",""))</f>
        <v/>
      </c>
      <c r="V23" s="207"/>
      <c r="W23" s="208"/>
      <c r="X23" s="205" t="str">
        <f aca="false">IF(A23="new.cod","NEW.COD",IF(AND((Y23=""),ISTEXT(A23)),A23,IF(Y23="","",INDEX('[1]liste reference'!$A$7:$A$906,Y23))))</f>
        <v>MELSPX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37</v>
      </c>
      <c r="Z23" s="209"/>
      <c r="AA23" s="210"/>
      <c r="BB23" s="8" t="n">
        <f aca="false">IF(A23="","",1)</f>
        <v>1</v>
      </c>
    </row>
    <row r="24" customFormat="false" ht="12.75" hidden="false" customHeight="false" outlineLevel="0" collapsed="false">
      <c r="A24" s="211" t="s">
        <v>75</v>
      </c>
      <c r="B24" s="212" t="n">
        <v>0.001</v>
      </c>
      <c r="C24" s="213"/>
      <c r="D24" s="214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Oedogonium sp.</v>
      </c>
      <c r="E24" s="214" t="e">
        <f aca="false">IF(D24="",,VLOOKUP(D24,D$22:D23,1,0))</f>
        <v>#N/A</v>
      </c>
      <c r="F24" s="215" t="n">
        <f aca="false">($B24*$B$7+$C24*$C$7)/100</f>
        <v>0.001</v>
      </c>
      <c r="G24" s="216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7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6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8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Oedogonium sp.</v>
      </c>
      <c r="L24" s="219"/>
      <c r="M24" s="219"/>
      <c r="N24" s="219"/>
      <c r="O24" s="203"/>
      <c r="P24" s="204" t="n">
        <f aca="false">IF(ISTEXT(H24),"",(B24*$B$7/100)+(C24*$C$7/100))</f>
        <v>0.001</v>
      </c>
      <c r="Q24" s="205" t="n">
        <f aca="false">IF(OR(ISTEXT(H24),P24=0),"",IF(P24&lt;0.1,1,IF(P24&lt;1,2,IF(P24&lt;10,3,IF(P24&lt;50,4,IF(P24&gt;=50,5,""))))))</f>
        <v>1</v>
      </c>
      <c r="R24" s="205" t="n">
        <f aca="false">IF(ISERROR(Q24*I24),0,Q24*I24)</f>
        <v>6</v>
      </c>
      <c r="S24" s="205" t="n">
        <f aca="false">IF(ISERROR(Q24*I24*J24),0,Q24*I24*J24)</f>
        <v>12</v>
      </c>
      <c r="T24" s="220" t="n">
        <f aca="false">IF(ISERROR(Q24*J24),0,Q24*J24)</f>
        <v>2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OEDSPX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56</v>
      </c>
      <c r="Z24" s="209"/>
      <c r="AA24" s="210"/>
      <c r="BB24" s="8" t="n">
        <f aca="false">IF(A24="","",1)</f>
        <v>1</v>
      </c>
    </row>
    <row r="25" customFormat="false" ht="12.75" hidden="false" customHeight="false" outlineLevel="0" collapsed="false">
      <c r="A25" s="211" t="s">
        <v>76</v>
      </c>
      <c r="B25" s="212" t="n">
        <v>0.0058</v>
      </c>
      <c r="C25" s="213"/>
      <c r="D25" s="214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Spirogyra sp.       </v>
      </c>
      <c r="E25" s="214" t="e">
        <f aca="false">IF(D25="",,VLOOKUP(D25,D$22:D24,1,0))</f>
        <v>#N/A</v>
      </c>
      <c r="F25" s="215" t="n">
        <f aca="false">($B25*$B$7+$C25*$C$7)/100</f>
        <v>0.0058</v>
      </c>
      <c r="G25" s="216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7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10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8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Spirogyra sp.       </v>
      </c>
      <c r="L25" s="219"/>
      <c r="M25" s="219"/>
      <c r="N25" s="219"/>
      <c r="O25" s="203"/>
      <c r="P25" s="204" t="n">
        <f aca="false">IF(ISTEXT(H25),"",(B25*$B$7/100)+(C25*$C$7/100))</f>
        <v>0.0058</v>
      </c>
      <c r="Q25" s="205" t="n">
        <f aca="false">IF(OR(ISTEXT(H25),P25=0),"",IF(P25&lt;0.1,1,IF(P25&lt;1,2,IF(P25&lt;10,3,IF(P25&lt;50,4,IF(P25&gt;=50,5,""))))))</f>
        <v>1</v>
      </c>
      <c r="R25" s="205" t="n">
        <f aca="false">IF(ISERROR(Q25*I25),0,Q25*I25)</f>
        <v>10</v>
      </c>
      <c r="S25" s="205" t="n">
        <f aca="false">IF(ISERROR(Q25*I25*J25),0,Q25*I25*J25)</f>
        <v>10</v>
      </c>
      <c r="T25" s="220" t="n">
        <f aca="false">IF(ISERROR(Q25*J25),0,Q25*J25)</f>
        <v>1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SPISPX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70</v>
      </c>
      <c r="Z25" s="209"/>
      <c r="AA25" s="210"/>
      <c r="BB25" s="8" t="n">
        <f aca="false">IF(A25="","",1)</f>
        <v>1</v>
      </c>
    </row>
    <row r="26" customFormat="false" ht="12.75" hidden="false" customHeight="false" outlineLevel="0" collapsed="false">
      <c r="A26" s="211" t="s">
        <v>77</v>
      </c>
      <c r="B26" s="212" t="n">
        <v>0.004</v>
      </c>
      <c r="C26" s="213"/>
      <c r="D26" s="214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Vaucheria sp.</v>
      </c>
      <c r="E26" s="214" t="e">
        <f aca="false">IF(D26="",,VLOOKUP(D26,D$22:D25,1,0))</f>
        <v>#N/A</v>
      </c>
      <c r="F26" s="215" t="n">
        <f aca="false">($B26*$B$7+$C26*$C$7)/100</f>
        <v>0.004</v>
      </c>
      <c r="G26" s="216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7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4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8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Vaucheria sp.</v>
      </c>
      <c r="L26" s="219"/>
      <c r="M26" s="219"/>
      <c r="N26" s="219"/>
      <c r="O26" s="203"/>
      <c r="P26" s="204" t="n">
        <f aca="false">IF(ISTEXT(H26),"",(B26*$B$7/100)+(C26*$C$7/100))</f>
        <v>0.004</v>
      </c>
      <c r="Q26" s="205" t="n">
        <f aca="false">IF(OR(ISTEXT(H26),P26=0),"",IF(P26&lt;0.1,1,IF(P26&lt;1,2,IF(P26&lt;10,3,IF(P26&lt;50,4,IF(P26&gt;=50,5,""))))))</f>
        <v>1</v>
      </c>
      <c r="R26" s="205" t="n">
        <f aca="false">IF(ISERROR(Q26*I26),0,Q26*I26)</f>
        <v>4</v>
      </c>
      <c r="S26" s="205" t="n">
        <f aca="false">IF(ISERROR(Q26*I26*J26),0,Q26*I26*J26)</f>
        <v>4</v>
      </c>
      <c r="T26" s="220" t="n">
        <f aca="false">IF(ISERROR(Q26*J26),0,Q26*J26)</f>
        <v>1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VAUSPX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83</v>
      </c>
      <c r="Z26" s="209"/>
      <c r="AA26" s="210"/>
      <c r="BB26" s="8" t="n">
        <f aca="false">IF(A26="","",1)</f>
        <v>1</v>
      </c>
    </row>
    <row r="27" customFormat="false" ht="12.75" hidden="false" customHeight="false" outlineLevel="0" collapsed="false">
      <c r="A27" s="211" t="s">
        <v>78</v>
      </c>
      <c r="B27" s="212" t="n">
        <v>0.001</v>
      </c>
      <c r="C27" s="213"/>
      <c r="D27" s="214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Amblystegium fluviatile</v>
      </c>
      <c r="E27" s="214" t="e">
        <f aca="false">IF(D27="",,VLOOKUP(D27,D$22:D26,1,0))</f>
        <v>#N/A</v>
      </c>
      <c r="F27" s="215" t="n">
        <f aca="false">($B27*$B$7+$C27*$C$7)/100</f>
        <v>0.001</v>
      </c>
      <c r="G27" s="216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7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11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8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Amblystegium fluviatile</v>
      </c>
      <c r="L27" s="221"/>
      <c r="M27" s="221"/>
      <c r="N27" s="221"/>
      <c r="O27" s="222"/>
      <c r="P27" s="204" t="n">
        <f aca="false">IF(ISTEXT(H27),"",(B27*$B$7/100)+(C27*$C$7/100))</f>
        <v>0.001</v>
      </c>
      <c r="Q27" s="205" t="n">
        <f aca="false">IF(OR(ISTEXT(H27),P27=0),"",IF(P27&lt;0.1,1,IF(P27&lt;1,2,IF(P27&lt;10,3,IF(P27&lt;50,4,IF(P27&gt;=50,5,""))))))</f>
        <v>1</v>
      </c>
      <c r="R27" s="205" t="n">
        <f aca="false">IF(ISERROR(Q27*I27),0,Q27*I27)</f>
        <v>11</v>
      </c>
      <c r="S27" s="205" t="n">
        <f aca="false">IF(ISERROR(Q27*I27*J27),0,Q27*I27*J27)</f>
        <v>22</v>
      </c>
      <c r="T27" s="220" t="n">
        <f aca="false">IF(ISERROR(Q27*J27),0,Q27*J27)</f>
        <v>2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AMBFLU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148</v>
      </c>
      <c r="Z27" s="209"/>
      <c r="AA27" s="210"/>
      <c r="BB27" s="8" t="n">
        <f aca="false">IF(A27="","",1)</f>
        <v>1</v>
      </c>
    </row>
    <row r="28" customFormat="false" ht="12.75" hidden="false" customHeight="false" outlineLevel="0" collapsed="false">
      <c r="A28" s="211" t="s">
        <v>79</v>
      </c>
      <c r="B28" s="212" t="n">
        <v>0.005</v>
      </c>
      <c r="C28" s="213"/>
      <c r="D28" s="214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Schistidium rivulare        </v>
      </c>
      <c r="E28" s="214" t="e">
        <f aca="false">IF(D28="",,VLOOKUP(D28,D$22:D27,1,0))</f>
        <v>#N/A</v>
      </c>
      <c r="F28" s="215" t="n">
        <f aca="false">($B28*$B$7+$C28*$C$7)/100</f>
        <v>0.005</v>
      </c>
      <c r="G28" s="216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7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15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3</v>
      </c>
      <c r="K28" s="218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Schistidium rivulare        </v>
      </c>
      <c r="L28" s="219"/>
      <c r="M28" s="219"/>
      <c r="N28" s="219"/>
      <c r="O28" s="203"/>
      <c r="P28" s="204" t="n">
        <f aca="false">IF(ISTEXT(H28),"",(B28*$B$7/100)+(C28*$C$7/100))</f>
        <v>0.005</v>
      </c>
      <c r="Q28" s="205" t="n">
        <f aca="false">IF(OR(ISTEXT(H28),P28=0),"",IF(P28&lt;0.1,1,IF(P28&lt;1,2,IF(P28&lt;10,3,IF(P28&lt;50,4,IF(P28&gt;=50,5,""))))))</f>
        <v>1</v>
      </c>
      <c r="R28" s="205" t="n">
        <f aca="false">IF(ISERROR(Q28*I28),0,Q28*I28)</f>
        <v>15</v>
      </c>
      <c r="S28" s="205" t="n">
        <f aca="false">IF(ISERROR(Q28*I28*J28),0,Q28*I28*J28)</f>
        <v>45</v>
      </c>
      <c r="T28" s="220" t="n">
        <f aca="false">IF(ISERROR(Q28*J28),0,Q28*J28)</f>
        <v>3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SCSRIV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256</v>
      </c>
      <c r="Z28" s="209"/>
      <c r="AA28" s="210"/>
      <c r="BB28" s="8" t="n">
        <f aca="false">IF(A28="","",1)</f>
        <v>1</v>
      </c>
    </row>
    <row r="29" customFormat="false" ht="12.75" hidden="false" customHeight="false" outlineLevel="0" collapsed="false">
      <c r="A29" s="211" t="s">
        <v>80</v>
      </c>
      <c r="B29" s="212" t="n">
        <v>0.001</v>
      </c>
      <c r="C29" s="213"/>
      <c r="D29" s="214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Equisetum palustre</v>
      </c>
      <c r="E29" s="214" t="e">
        <f aca="false">IF(D29="",,VLOOKUP(D29,D$22:D28,1,0))</f>
        <v>#N/A</v>
      </c>
      <c r="F29" s="215" t="n">
        <f aca="false">($B29*$B$7+$C29*$C$7)/100</f>
        <v>0.001</v>
      </c>
      <c r="G29" s="216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PTE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6</v>
      </c>
      <c r="I29" s="217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10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8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Equisetum palustre</v>
      </c>
      <c r="L29" s="219"/>
      <c r="M29" s="219"/>
      <c r="N29" s="219"/>
      <c r="O29" s="203"/>
      <c r="P29" s="204" t="n">
        <f aca="false">IF(ISTEXT(H29),"",(B29*$B$7/100)+(C29*$C$7/100))</f>
        <v>0.001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10</v>
      </c>
      <c r="S29" s="205" t="n">
        <f aca="false">IF(ISERROR(Q29*I29*J29),0,Q29*I29*J29)</f>
        <v>10</v>
      </c>
      <c r="T29" s="220" t="n">
        <f aca="false">IF(ISERROR(Q29*J29),0,Q29*J29)</f>
        <v>1</v>
      </c>
      <c r="U29" s="206" t="str">
        <f aca="false">IF(AND(A29="",F29=0),"",IF(F29=0,"Il manque le(s) % de rec. !",""))</f>
        <v/>
      </c>
      <c r="V29" s="223"/>
      <c r="X29" s="205" t="str">
        <f aca="false">IF(A29="new.cod","NEW.COD",IF(AND((Y29=""),ISTEXT(A29)),A29,IF(Y29="","",INDEX('[1]liste reference'!$A$7:$A$906,Y29))))</f>
        <v>EQUPAL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282</v>
      </c>
      <c r="Z29" s="209"/>
      <c r="AA29" s="210"/>
      <c r="BB29" s="8" t="n">
        <f aca="false">IF(A29="","",1)</f>
        <v>1</v>
      </c>
    </row>
    <row r="30" customFormat="false" ht="12.75" hidden="false" customHeight="false" outlineLevel="0" collapsed="false">
      <c r="A30" s="211" t="s">
        <v>16</v>
      </c>
      <c r="B30" s="212" t="n">
        <v>3</v>
      </c>
      <c r="C30" s="213"/>
      <c r="D30" s="214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Ranunculus penicillatus var. penicillatus</v>
      </c>
      <c r="E30" s="214" t="e">
        <f aca="false">IF(D30="",,VLOOKUP(D30,D$22:D29,1,0))</f>
        <v>#N/A</v>
      </c>
      <c r="F30" s="215" t="n">
        <f aca="false">($B30*$B$7+$C30*$C$7)/100</f>
        <v>3</v>
      </c>
      <c r="G30" s="216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PHy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7</v>
      </c>
      <c r="I30" s="217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12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1</v>
      </c>
      <c r="K30" s="218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Ranunculus penicillatus var. penicillatus</v>
      </c>
      <c r="L30" s="219"/>
      <c r="M30" s="219"/>
      <c r="N30" s="219"/>
      <c r="O30" s="203"/>
      <c r="P30" s="204" t="n">
        <f aca="false">IF(ISTEXT(H30),"",(B30*$B$7/100)+(C30*$C$7/100))</f>
        <v>3</v>
      </c>
      <c r="Q30" s="205" t="n">
        <f aca="false">IF(OR(ISTEXT(H30),P30=0),"",IF(P30&lt;0.1,1,IF(P30&lt;1,2,IF(P30&lt;10,3,IF(P30&lt;50,4,IF(P30&gt;=50,5,""))))))</f>
        <v>3</v>
      </c>
      <c r="R30" s="205" t="n">
        <f aca="false">IF(ISERROR(Q30*I30),0,Q30*I30)</f>
        <v>36</v>
      </c>
      <c r="S30" s="205" t="n">
        <f aca="false">IF(ISERROR(Q30*I30*J30),0,Q30*I30*J30)</f>
        <v>36</v>
      </c>
      <c r="T30" s="220" t="n">
        <f aca="false">IF(ISERROR(Q30*J30),0,Q30*J30)</f>
        <v>3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RANPEN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469</v>
      </c>
      <c r="Z30" s="209"/>
      <c r="AA30" s="210"/>
      <c r="BB30" s="8" t="n">
        <f aca="false">IF(A30="","",1)</f>
        <v>1</v>
      </c>
    </row>
    <row r="31" customFormat="false" ht="12.75" hidden="false" customHeight="false" outlineLevel="0" collapsed="false">
      <c r="A31" s="211" t="s">
        <v>81</v>
      </c>
      <c r="B31" s="212" t="n">
        <v>0.001</v>
      </c>
      <c r="C31" s="213"/>
      <c r="D31" s="214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Agrostis stolonifera</v>
      </c>
      <c r="E31" s="214" t="e">
        <f aca="false">IF(D31="",,VLOOKUP(D31,D$22:D30,1,0))</f>
        <v>#N/A</v>
      </c>
      <c r="F31" s="215" t="n">
        <f aca="false">($B31*$B$7+$C31*$C$7)/100</f>
        <v>0.001</v>
      </c>
      <c r="G31" s="216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PHe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8</v>
      </c>
      <c r="I31" s="217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10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1</v>
      </c>
      <c r="K31" s="218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Agrostis stolonifera</v>
      </c>
      <c r="L31" s="219"/>
      <c r="M31" s="219"/>
      <c r="N31" s="219"/>
      <c r="O31" s="203"/>
      <c r="P31" s="204" t="n">
        <f aca="false">IF(ISTEXT(H31),"",(B31*$B$7/100)+(C31*$C$7/100))</f>
        <v>0.001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10</v>
      </c>
      <c r="S31" s="205" t="n">
        <f aca="false">IF(ISERROR(Q31*I31*J31),0,Q31*I31*J31)</f>
        <v>10</v>
      </c>
      <c r="T31" s="220" t="n">
        <f aca="false">IF(ISERROR(Q31*J31),0,Q31*J31)</f>
        <v>1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AGRSTO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520</v>
      </c>
      <c r="Z31" s="209"/>
      <c r="AA31" s="210"/>
      <c r="BB31" s="8" t="n">
        <f aca="false">IF(A31="","",1)</f>
        <v>1</v>
      </c>
    </row>
    <row r="32" customFormat="false" ht="12.75" hidden="false" customHeight="false" outlineLevel="0" collapsed="false">
      <c r="A32" s="211" t="s">
        <v>82</v>
      </c>
      <c r="B32" s="212" t="n">
        <v>0.001</v>
      </c>
      <c r="C32" s="213"/>
      <c r="D32" s="214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Carex acuta</v>
      </c>
      <c r="E32" s="214" t="e">
        <f aca="false">IF(D32="",,VLOOKUP(D32,D$22:D31,1,0))</f>
        <v>#N/A</v>
      </c>
      <c r="F32" s="215" t="n">
        <f aca="false">($B32*$B$7+$C32*$C$7)/100</f>
        <v>0.001</v>
      </c>
      <c r="G32" s="216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PHe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8</v>
      </c>
      <c r="I32" s="217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0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8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Carex acuta</v>
      </c>
      <c r="L32" s="219"/>
      <c r="M32" s="219"/>
      <c r="N32" s="219"/>
      <c r="O32" s="203"/>
      <c r="P32" s="204" t="n">
        <f aca="false">IF(ISTEXT(H32),"",(B32*$B$7/100)+(C32*$C$7/100))</f>
        <v>0.001</v>
      </c>
      <c r="Q32" s="205" t="n">
        <f aca="false">IF(OR(ISTEXT(H32),P32=0),"",IF(P32&lt;0.1,1,IF(P32&lt;1,2,IF(P32&lt;10,3,IF(P32&lt;50,4,IF(P32&gt;=50,5,""))))))</f>
        <v>1</v>
      </c>
      <c r="R32" s="205" t="n">
        <f aca="false">IF(ISERROR(Q32*I32),0,Q32*I32)</f>
        <v>0</v>
      </c>
      <c r="S32" s="205" t="n">
        <f aca="false">IF(ISERROR(Q32*I32*J32),0,Q32*I32*J32)</f>
        <v>0</v>
      </c>
      <c r="T32" s="220" t="n">
        <f aca="false">IF(ISERROR(Q32*J32),0,Q32*J32)</f>
        <v>0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CARACU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542</v>
      </c>
      <c r="Z32" s="209"/>
      <c r="AA32" s="210"/>
      <c r="BB32" s="8" t="n">
        <f aca="false">IF(A32="","",1)</f>
        <v>1</v>
      </c>
    </row>
    <row r="33" customFormat="false" ht="12.75" hidden="false" customHeight="false" outlineLevel="0" collapsed="false">
      <c r="A33" s="211" t="s">
        <v>83</v>
      </c>
      <c r="B33" s="212" t="n">
        <v>0.001</v>
      </c>
      <c r="C33" s="213"/>
      <c r="D33" s="214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Glyceria fluitans</v>
      </c>
      <c r="E33" s="214" t="e">
        <f aca="false">IF(D33="",,VLOOKUP(D33,D$22:D32,1,0))</f>
        <v>#N/A</v>
      </c>
      <c r="F33" s="215" t="n">
        <f aca="false">($B33*$B$7+$C33*$C$7)/100</f>
        <v>0.001</v>
      </c>
      <c r="G33" s="216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PHe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8</v>
      </c>
      <c r="I33" s="217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14</v>
      </c>
      <c r="J33" s="200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2</v>
      </c>
      <c r="K33" s="218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Glyceria fluitans</v>
      </c>
      <c r="L33" s="219"/>
      <c r="M33" s="219"/>
      <c r="N33" s="219"/>
      <c r="O33" s="203"/>
      <c r="P33" s="204" t="n">
        <f aca="false">IF(ISTEXT(H33),"",(B33*$B$7/100)+(C33*$C$7/100))</f>
        <v>0.001</v>
      </c>
      <c r="Q33" s="205" t="n">
        <f aca="false">IF(OR(ISTEXT(H33),P33=0),"",IF(P33&lt;0.1,1,IF(P33&lt;1,2,IF(P33&lt;10,3,IF(P33&lt;50,4,IF(P33&gt;=50,5,""))))))</f>
        <v>1</v>
      </c>
      <c r="R33" s="205" t="n">
        <f aca="false">IF(ISERROR(Q33*I33),0,Q33*I33)</f>
        <v>14</v>
      </c>
      <c r="S33" s="205" t="n">
        <f aca="false">IF(ISERROR(Q33*I33*J33),0,Q33*I33*J33)</f>
        <v>28</v>
      </c>
      <c r="T33" s="220" t="n">
        <f aca="false">IF(ISERROR(Q33*J33),0,Q33*J33)</f>
        <v>2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GLYFLU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580</v>
      </c>
      <c r="Z33" s="209"/>
      <c r="AA33" s="210"/>
      <c r="BB33" s="8" t="n">
        <f aca="false">IF(A33="","",1)</f>
        <v>1</v>
      </c>
    </row>
    <row r="34" customFormat="false" ht="12.75" hidden="false" customHeight="false" outlineLevel="0" collapsed="false">
      <c r="A34" s="211" t="s">
        <v>84</v>
      </c>
      <c r="B34" s="212" t="n">
        <v>0.001</v>
      </c>
      <c r="C34" s="213"/>
      <c r="D34" s="214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Iris pseudacorus</v>
      </c>
      <c r="E34" s="214" t="e">
        <f aca="false">IF(D34="",,VLOOKUP(D34,D$22:D33,1,0))</f>
        <v>#N/A</v>
      </c>
      <c r="F34" s="224" t="n">
        <f aca="false">($B34*$B$7+$C34*$C$7)/100</f>
        <v>0.001</v>
      </c>
      <c r="G34" s="216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PHe</v>
      </c>
      <c r="H34" s="198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8</v>
      </c>
      <c r="I34" s="217" t="n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>10</v>
      </c>
      <c r="J34" s="200" t="n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>1</v>
      </c>
      <c r="K34" s="218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Iris pseudacorus</v>
      </c>
      <c r="L34" s="219"/>
      <c r="M34" s="219"/>
      <c r="N34" s="219"/>
      <c r="O34" s="203"/>
      <c r="P34" s="204" t="n">
        <f aca="false">IF(ISTEXT(H34),"",(B34*$B$7/100)+(C34*$C$7/100))</f>
        <v>0.001</v>
      </c>
      <c r="Q34" s="205" t="n">
        <f aca="false">IF(OR(ISTEXT(H34),P34=0),"",IF(P34&lt;0.1,1,IF(P34&lt;1,2,IF(P34&lt;10,3,IF(P34&lt;50,4,IF(P34&gt;=50,5,""))))))</f>
        <v>1</v>
      </c>
      <c r="R34" s="205" t="n">
        <f aca="false">IF(ISERROR(Q34*I34),0,Q34*I34)</f>
        <v>10</v>
      </c>
      <c r="S34" s="205" t="n">
        <f aca="false">IF(ISERROR(Q34*I34*J34),0,Q34*I34*J34)</f>
        <v>10</v>
      </c>
      <c r="T34" s="220" t="n">
        <f aca="false">IF(ISERROR(Q34*J34),0,Q34*J34)</f>
        <v>1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>IRIPSE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588</v>
      </c>
      <c r="Z34" s="209"/>
      <c r="AA34" s="210"/>
      <c r="BB34" s="8" t="n">
        <f aca="false">IF(A34="","",1)</f>
        <v>1</v>
      </c>
    </row>
    <row r="35" customFormat="false" ht="12.75" hidden="false" customHeight="false" outlineLevel="0" collapsed="false">
      <c r="A35" s="211" t="s">
        <v>85</v>
      </c>
      <c r="B35" s="212" t="n">
        <v>0.02</v>
      </c>
      <c r="C35" s="213"/>
      <c r="D35" s="214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Juncus effusus</v>
      </c>
      <c r="E35" s="214" t="e">
        <f aca="false">IF(D35="",,VLOOKUP(D35,D$22:D34,1,0))</f>
        <v>#N/A</v>
      </c>
      <c r="F35" s="224" t="n">
        <f aca="false">($B35*$B$7+$C35*$C$7)/100</f>
        <v>0.02</v>
      </c>
      <c r="G35" s="216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PHe</v>
      </c>
      <c r="H35" s="198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8</v>
      </c>
      <c r="I35" s="217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8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Juncus effusus</v>
      </c>
      <c r="L35" s="219"/>
      <c r="M35" s="219"/>
      <c r="N35" s="219"/>
      <c r="O35" s="203"/>
      <c r="P35" s="204" t="n">
        <f aca="false">IF(ISTEXT(H35),"",(B35*$B$7/100)+(C35*$C$7/100))</f>
        <v>0.02</v>
      </c>
      <c r="Q35" s="205" t="n">
        <f aca="false">IF(OR(ISTEXT(H35),P35=0),"",IF(P35&lt;0.1,1,IF(P35&lt;1,2,IF(P35&lt;10,3,IF(P35&lt;50,4,IF(P35&gt;=50,5,""))))))</f>
        <v>1</v>
      </c>
      <c r="R35" s="205" t="n">
        <f aca="false">IF(ISERROR(Q35*I35),0,Q35*I35)</f>
        <v>0</v>
      </c>
      <c r="S35" s="205" t="n">
        <f aca="false">IF(ISERROR(Q35*I35*J35),0,Q35*I35*J35)</f>
        <v>0</v>
      </c>
      <c r="T35" s="220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>JUNEFF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592</v>
      </c>
      <c r="Z35" s="209"/>
      <c r="AA35" s="210"/>
      <c r="BB35" s="8" t="n">
        <f aca="false">IF(A35="","",1)</f>
        <v>1</v>
      </c>
    </row>
    <row r="36" customFormat="false" ht="12.75" hidden="false" customHeight="false" outlineLevel="0" collapsed="false">
      <c r="A36" s="211" t="s">
        <v>86</v>
      </c>
      <c r="B36" s="212" t="n">
        <v>1E-005</v>
      </c>
      <c r="C36" s="213"/>
      <c r="D36" s="214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>Lycopus europaeus</v>
      </c>
      <c r="E36" s="214" t="e">
        <f aca="false">IF(D36="",,VLOOKUP(D36,D$22:D35,1,0))</f>
        <v>#N/A</v>
      </c>
      <c r="F36" s="224" t="n">
        <f aca="false">($B36*$B$7+$C36*$C$7)/100</f>
        <v>1E-005</v>
      </c>
      <c r="G36" s="216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>PHe</v>
      </c>
      <c r="H36" s="198" t="n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8</v>
      </c>
      <c r="I36" s="217" t="n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>11</v>
      </c>
      <c r="J36" s="200" t="n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>1</v>
      </c>
      <c r="K36" s="218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>Lycopus europaeus</v>
      </c>
      <c r="L36" s="219"/>
      <c r="M36" s="219"/>
      <c r="N36" s="219"/>
      <c r="O36" s="203"/>
      <c r="P36" s="204" t="n">
        <f aca="false">IF(ISTEXT(H36),"",(B36*$B$7/100)+(C36*$C$7/100))</f>
        <v>1E-005</v>
      </c>
      <c r="Q36" s="205" t="n">
        <f aca="false">IF(OR(ISTEXT(H36),P36=0),"",IF(P36&lt;0.1,1,IF(P36&lt;1,2,IF(P36&lt;10,3,IF(P36&lt;50,4,IF(P36&gt;=50,5,""))))))</f>
        <v>1</v>
      </c>
      <c r="R36" s="205" t="n">
        <f aca="false">IF(ISERROR(Q36*I36),0,Q36*I36)</f>
        <v>11</v>
      </c>
      <c r="S36" s="205" t="n">
        <f aca="false">IF(ISERROR(Q36*I36*J36),0,Q36*I36*J36)</f>
        <v>11</v>
      </c>
      <c r="T36" s="220" t="n">
        <f aca="false">IF(ISERROR(Q36*J36),0,Q36*J36)</f>
        <v>1</v>
      </c>
      <c r="U36" s="206" t="str">
        <f aca="false">IF(AND(A36="",F36=0),"",IF(F36=0,"Il manque le(s) % de rec. !",""))</f>
        <v/>
      </c>
      <c r="V36" s="207"/>
      <c r="X36" s="205" t="str">
        <f aca="false">IF(A36="new.cod","NEW.COD",IF(AND((Y36=""),ISTEXT(A36)),A36,IF(Y36="","",INDEX('[1]liste reference'!$A$7:$A$906,Y36))))</f>
        <v>LYCEUR</v>
      </c>
      <c r="Y36" s="8" t="n">
        <f aca="false">IF(ISERROR(MATCH(A36,'[1]liste reference'!$A$7:$A$906,0)),IF(ISERROR(MATCH(A36,'[1]liste reference'!$B$7:$B$906,0)),"",(MATCH(A36,'[1]liste reference'!$B$7:$B$906,0))),(MATCH(A36,'[1]liste reference'!$A$7:$A$906,0)))</f>
        <v>602</v>
      </c>
      <c r="Z36" s="209"/>
      <c r="AA36" s="210"/>
      <c r="BB36" s="8" t="n">
        <f aca="false">IF(A36="","",1)</f>
        <v>1</v>
      </c>
    </row>
    <row r="37" customFormat="false" ht="12.75" hidden="false" customHeight="false" outlineLevel="0" collapsed="false">
      <c r="A37" s="211" t="s">
        <v>87</v>
      </c>
      <c r="B37" s="212" t="n">
        <v>0.0001</v>
      </c>
      <c r="C37" s="213"/>
      <c r="D37" s="214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>Lysimachia vulgaris</v>
      </c>
      <c r="E37" s="214" t="e">
        <f aca="false">IF(D37="",,VLOOKUP(D37,D$22:D36,1,0))</f>
        <v>#N/A</v>
      </c>
      <c r="F37" s="224" t="n">
        <f aca="false">($B37*$B$7+$C37*$C$7)/100</f>
        <v>0.0001</v>
      </c>
      <c r="G37" s="216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>PHe</v>
      </c>
      <c r="H37" s="198" t="n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8</v>
      </c>
      <c r="I37" s="217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8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>Lysimachia vulgaris</v>
      </c>
      <c r="L37" s="219"/>
      <c r="M37" s="219"/>
      <c r="N37" s="219"/>
      <c r="O37" s="203"/>
      <c r="P37" s="204" t="n">
        <f aca="false">IF(ISTEXT(H37),"",(B37*$B$7/100)+(C37*$C$7/100))</f>
        <v>0.0001</v>
      </c>
      <c r="Q37" s="205" t="n">
        <f aca="false">IF(OR(ISTEXT(H37),P37=0),"",IF(P37&lt;0.1,1,IF(P37&lt;1,2,IF(P37&lt;10,3,IF(P37&lt;50,4,IF(P37&gt;=50,5,""))))))</f>
        <v>1</v>
      </c>
      <c r="R37" s="205" t="n">
        <f aca="false">IF(ISERROR(Q37*I37),0,Q37*I37)</f>
        <v>0</v>
      </c>
      <c r="S37" s="205" t="n">
        <f aca="false">IF(ISERROR(Q37*I37*J37),0,Q37*I37*J37)</f>
        <v>0</v>
      </c>
      <c r="T37" s="220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>LYSVUL</v>
      </c>
      <c r="Y37" s="8" t="n">
        <f aca="false">IF(ISERROR(MATCH(A37,'[1]liste reference'!$A$7:$A$906,0)),IF(ISERROR(MATCH(A37,'[1]liste reference'!$B$7:$B$906,0)),"",(MATCH(A37,'[1]liste reference'!$B$7:$B$906,0))),(MATCH(A37,'[1]liste reference'!$A$7:$A$906,0)))</f>
        <v>607</v>
      </c>
      <c r="Z37" s="209"/>
      <c r="AA37" s="210"/>
      <c r="BB37" s="8" t="n">
        <f aca="false">IF(A37="","",1)</f>
        <v>1</v>
      </c>
    </row>
    <row r="38" customFormat="false" ht="12.75" hidden="false" customHeight="false" outlineLevel="0" collapsed="false">
      <c r="A38" s="211" t="s">
        <v>88</v>
      </c>
      <c r="B38" s="212" t="n">
        <v>0.001</v>
      </c>
      <c r="C38" s="213"/>
      <c r="D38" s="214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>Mentha longifolia</v>
      </c>
      <c r="E38" s="214" t="e">
        <f aca="false">IF(D38="",,VLOOKUP(D38,D$22:D37,1,0))</f>
        <v>#N/A</v>
      </c>
      <c r="F38" s="224" t="n">
        <f aca="false">($B38*$B$7+$C38*$C$7)/100</f>
        <v>0.001</v>
      </c>
      <c r="G38" s="216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>PHe</v>
      </c>
      <c r="H38" s="198" t="n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8</v>
      </c>
      <c r="I38" s="217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8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>Mentha longifolia</v>
      </c>
      <c r="L38" s="219"/>
      <c r="M38" s="219"/>
      <c r="N38" s="219"/>
      <c r="O38" s="203" t="s">
        <v>89</v>
      </c>
      <c r="P38" s="204" t="n">
        <f aca="false">IF(ISTEXT(H38),"",(B38*$B$7/100)+(C38*$C$7/100))</f>
        <v>0.001</v>
      </c>
      <c r="Q38" s="205" t="n">
        <f aca="false">IF(OR(ISTEXT(H38),P38=0),"",IF(P38&lt;0.1,1,IF(P38&lt;1,2,IF(P38&lt;10,3,IF(P38&lt;50,4,IF(P38&gt;=50,5,""))))))</f>
        <v>1</v>
      </c>
      <c r="R38" s="205" t="n">
        <f aca="false">IF(ISERROR(Q38*I38),0,Q38*I38)</f>
        <v>0</v>
      </c>
      <c r="S38" s="205" t="n">
        <f aca="false">IF(ISERROR(Q38*I38*J38),0,Q38*I38*J38)</f>
        <v>0</v>
      </c>
      <c r="T38" s="220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X38" s="205" t="str">
        <f aca="false">IF(A38="new.cod","NEW.COD",IF(AND((Y38=""),ISTEXT(A38)),A38,IF(Y38="","",INDEX('[1]liste reference'!$A$7:$A$906,Y38))))</f>
        <v>MENLON</v>
      </c>
      <c r="Y38" s="8" t="n">
        <f aca="false">IF(ISERROR(MATCH(A38,'[1]liste reference'!$A$7:$A$906,0)),IF(ISERROR(MATCH(A38,'[1]liste reference'!$B$7:$B$906,0)),"",(MATCH(A38,'[1]liste reference'!$B$7:$B$906,0))),(MATCH(A38,'[1]liste reference'!$A$7:$A$906,0)))</f>
        <v>615</v>
      </c>
      <c r="Z38" s="209" t="s">
        <v>89</v>
      </c>
      <c r="AA38" s="210"/>
      <c r="BB38" s="8" t="n">
        <f aca="false">IF(A38="","",1)</f>
        <v>1</v>
      </c>
    </row>
    <row r="39" customFormat="false" ht="12.75" hidden="false" customHeight="false" outlineLevel="0" collapsed="false">
      <c r="A39" s="211" t="s">
        <v>90</v>
      </c>
      <c r="B39" s="212" t="n">
        <v>0.5</v>
      </c>
      <c r="C39" s="213"/>
      <c r="D39" s="214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>Phalaris arundinacea</v>
      </c>
      <c r="E39" s="214" t="e">
        <f aca="false">IF(D39="",,VLOOKUP(D39,D$22:D38,1,0))</f>
        <v>#N/A</v>
      </c>
      <c r="F39" s="224" t="n">
        <f aca="false">($B39*$B$7+$C39*$C$7)/100</f>
        <v>0.5</v>
      </c>
      <c r="G39" s="216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>PHe</v>
      </c>
      <c r="H39" s="198" t="n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8</v>
      </c>
      <c r="I39" s="217" t="n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>10</v>
      </c>
      <c r="J39" s="200" t="n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>1</v>
      </c>
      <c r="K39" s="218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>Phalaris arundinacea</v>
      </c>
      <c r="L39" s="219"/>
      <c r="M39" s="219"/>
      <c r="N39" s="219"/>
      <c r="O39" s="203"/>
      <c r="P39" s="204" t="n">
        <f aca="false">IF(ISTEXT(H39),"",(B39*$B$7/100)+(C39*$C$7/100))</f>
        <v>0.5</v>
      </c>
      <c r="Q39" s="205" t="n">
        <f aca="false">IF(OR(ISTEXT(H39),P39=0),"",IF(P39&lt;0.1,1,IF(P39&lt;1,2,IF(P39&lt;10,3,IF(P39&lt;50,4,IF(P39&gt;=50,5,""))))))</f>
        <v>2</v>
      </c>
      <c r="R39" s="205" t="n">
        <f aca="false">IF(ISERROR(Q39*I39),0,Q39*I39)</f>
        <v>20</v>
      </c>
      <c r="S39" s="205" t="n">
        <f aca="false">IF(ISERROR(Q39*I39*J39),0,Q39*I39*J39)</f>
        <v>20</v>
      </c>
      <c r="T39" s="220" t="n">
        <f aca="false">IF(ISERROR(Q39*J39),0,Q39*J39)</f>
        <v>2</v>
      </c>
      <c r="U39" s="206" t="str">
        <f aca="false">IF(AND(A39="",F39=0),"",IF(F39=0,"Il manque le(s) % de rec. !",""))</f>
        <v/>
      </c>
      <c r="V39" s="207"/>
      <c r="X39" s="205" t="str">
        <f aca="false">IF(A39="new.cod","NEW.COD",IF(AND((Y39=""),ISTEXT(A39)),A39,IF(Y39="","",INDEX('[1]liste reference'!$A$7:$A$906,Y39))))</f>
        <v>PHAARU</v>
      </c>
      <c r="Y39" s="8" t="n">
        <f aca="false">IF(ISERROR(MATCH(A39,'[1]liste reference'!$A$7:$A$906,0)),IF(ISERROR(MATCH(A39,'[1]liste reference'!$B$7:$B$906,0)),"",(MATCH(A39,'[1]liste reference'!$B$7:$B$906,0))),(MATCH(A39,'[1]liste reference'!$A$7:$A$906,0)))</f>
        <v>640</v>
      </c>
      <c r="Z39" s="209"/>
      <c r="AA39" s="210"/>
      <c r="BB39" s="8" t="n">
        <f aca="false">IF(A39="","",1)</f>
        <v>1</v>
      </c>
    </row>
    <row r="40" customFormat="false" ht="12.75" hidden="false" customHeight="false" outlineLevel="0" collapsed="false">
      <c r="A40" s="211" t="s">
        <v>91</v>
      </c>
      <c r="B40" s="212" t="n">
        <v>0.001</v>
      </c>
      <c r="C40" s="213"/>
      <c r="D40" s="214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>Polygonum hydropiper</v>
      </c>
      <c r="E40" s="214" t="e">
        <f aca="false">IF(D40="",,VLOOKUP(D40,D$22:D39,1,0))</f>
        <v>#N/A</v>
      </c>
      <c r="F40" s="224" t="n">
        <f aca="false">($B40*$B$7+$C40*$C$7)/100</f>
        <v>0.001</v>
      </c>
      <c r="G40" s="216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>PHe</v>
      </c>
      <c r="H40" s="198" t="n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8</v>
      </c>
      <c r="I40" s="217" t="n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>8</v>
      </c>
      <c r="J40" s="200" t="n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>2</v>
      </c>
      <c r="K40" s="218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>Polygonum hydropiper</v>
      </c>
      <c r="L40" s="219"/>
      <c r="M40" s="219"/>
      <c r="N40" s="219"/>
      <c r="O40" s="203"/>
      <c r="P40" s="204" t="n">
        <f aca="false">IF(ISTEXT(H40),"",(B40*$B$7/100)+(C40*$C$7/100))</f>
        <v>0.001</v>
      </c>
      <c r="Q40" s="205" t="n">
        <f aca="false">IF(OR(ISTEXT(H40),P40=0),"",IF(P40&lt;0.1,1,IF(P40&lt;1,2,IF(P40&lt;10,3,IF(P40&lt;50,4,IF(P40&gt;=50,5,""))))))</f>
        <v>1</v>
      </c>
      <c r="R40" s="205" t="n">
        <f aca="false">IF(ISERROR(Q40*I40),0,Q40*I40)</f>
        <v>8</v>
      </c>
      <c r="S40" s="205" t="n">
        <f aca="false">IF(ISERROR(Q40*I40*J40),0,Q40*I40*J40)</f>
        <v>16</v>
      </c>
      <c r="T40" s="220" t="n">
        <f aca="false">IF(ISERROR(Q40*J40),0,Q40*J40)</f>
        <v>2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>POLHYD</v>
      </c>
      <c r="Y40" s="8" t="n">
        <f aca="false">IF(ISERROR(MATCH(A40,'[1]liste reference'!$A$7:$A$906,0)),IF(ISERROR(MATCH(A40,'[1]liste reference'!$B$7:$B$906,0)),"",(MATCH(A40,'[1]liste reference'!$B$7:$B$906,0))),(MATCH(A40,'[1]liste reference'!$A$7:$A$906,0)))</f>
        <v>643</v>
      </c>
      <c r="Z40" s="209"/>
      <c r="AA40" s="210"/>
      <c r="BB40" s="8" t="n">
        <f aca="false">IF(A40="","",1)</f>
        <v>1</v>
      </c>
    </row>
    <row r="41" customFormat="false" ht="12.75" hidden="false" customHeight="false" outlineLevel="0" collapsed="false">
      <c r="A41" s="211" t="s">
        <v>92</v>
      </c>
      <c r="B41" s="212" t="n">
        <v>0.001</v>
      </c>
      <c r="C41" s="213"/>
      <c r="D41" s="214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>Sparganium erectum</v>
      </c>
      <c r="E41" s="214" t="e">
        <f aca="false">IF(D41="",,VLOOKUP(D41,D$22:D40,1,0))</f>
        <v>#N/A</v>
      </c>
      <c r="F41" s="224" t="n">
        <f aca="false">($B41*$B$7+$C41*$C$7)/100</f>
        <v>0.001</v>
      </c>
      <c r="G41" s="216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>PHe</v>
      </c>
      <c r="H41" s="198" t="n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8</v>
      </c>
      <c r="I41" s="217" t="n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>10</v>
      </c>
      <c r="J41" s="200" t="n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>1</v>
      </c>
      <c r="K41" s="218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>Sparganium erectum</v>
      </c>
      <c r="L41" s="219"/>
      <c r="M41" s="219"/>
      <c r="N41" s="219"/>
      <c r="O41" s="203"/>
      <c r="P41" s="204" t="n">
        <f aca="false">IF(ISTEXT(H41),"",(B41*$B$7/100)+(C41*$C$7/100))</f>
        <v>0.001</v>
      </c>
      <c r="Q41" s="205" t="n">
        <f aca="false">IF(OR(ISTEXT(H41),P41=0),"",IF(P41&lt;0.1,1,IF(P41&lt;1,2,IF(P41&lt;10,3,IF(P41&lt;50,4,IF(P41&gt;=50,5,""))))))</f>
        <v>1</v>
      </c>
      <c r="R41" s="205" t="n">
        <f aca="false">IF(ISERROR(Q41*I41),0,Q41*I41)</f>
        <v>10</v>
      </c>
      <c r="S41" s="205" t="n">
        <f aca="false">IF(ISERROR(Q41*I41*J41),0,Q41*I41*J41)</f>
        <v>10</v>
      </c>
      <c r="T41" s="220" t="n">
        <f aca="false">IF(ISERROR(Q41*J41),0,Q41*J41)</f>
        <v>1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>SPAERE</v>
      </c>
      <c r="Y41" s="8" t="n">
        <f aca="false">IF(ISERROR(MATCH(A41,'[1]liste reference'!$A$7:$A$906,0)),IF(ISERROR(MATCH(A41,'[1]liste reference'!$B$7:$B$906,0)),"",(MATCH(A41,'[1]liste reference'!$B$7:$B$906,0))),(MATCH(A41,'[1]liste reference'!$A$7:$A$906,0)))</f>
        <v>675</v>
      </c>
      <c r="Z41" s="209"/>
      <c r="AA41" s="210"/>
      <c r="BB41" s="8" t="n">
        <f aca="false">IF(A41="","",1)</f>
        <v>1</v>
      </c>
    </row>
    <row r="42" customFormat="false" ht="12.75" hidden="false" customHeight="false" outlineLevel="0" collapsed="false">
      <c r="A42" s="211" t="s">
        <v>93</v>
      </c>
      <c r="B42" s="212" t="n">
        <v>0.0001</v>
      </c>
      <c r="C42" s="213"/>
      <c r="D42" s="214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>Veronica beccabunga</v>
      </c>
      <c r="E42" s="214" t="e">
        <f aca="false">IF(D42="",,VLOOKUP(D42,D$22:D41,1,0))</f>
        <v>#N/A</v>
      </c>
      <c r="F42" s="224" t="n">
        <f aca="false">($B42*$B$7+$C42*$C$7)/100</f>
        <v>0.0001</v>
      </c>
      <c r="G42" s="216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>PHe</v>
      </c>
      <c r="H42" s="198" t="n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8</v>
      </c>
      <c r="I42" s="217" t="n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>10</v>
      </c>
      <c r="J42" s="200" t="n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>1</v>
      </c>
      <c r="K42" s="218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>Veronica beccabunga</v>
      </c>
      <c r="L42" s="219"/>
      <c r="M42" s="219"/>
      <c r="N42" s="219"/>
      <c r="O42" s="203"/>
      <c r="P42" s="204" t="n">
        <f aca="false">IF(ISTEXT(H42),"",(B42*$B$7/100)+(C42*$C$7/100))</f>
        <v>0.0001</v>
      </c>
      <c r="Q42" s="205" t="n">
        <f aca="false">IF(OR(ISTEXT(H42),P42=0),"",IF(P42&lt;0.1,1,IF(P42&lt;1,2,IF(P42&lt;10,3,IF(P42&lt;50,4,IF(P42&gt;=50,5,""))))))</f>
        <v>1</v>
      </c>
      <c r="R42" s="205" t="n">
        <f aca="false">IF(ISERROR(Q42*I42),0,Q42*I42)</f>
        <v>10</v>
      </c>
      <c r="S42" s="205" t="n">
        <f aca="false">IF(ISERROR(Q42*I42*J42),0,Q42*I42*J42)</f>
        <v>10</v>
      </c>
      <c r="T42" s="220" t="n">
        <f aca="false">IF(ISERROR(Q42*J42),0,Q42*J42)</f>
        <v>1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>VERBEC</v>
      </c>
      <c r="Y42" s="8" t="n">
        <f aca="false">IF(ISERROR(MATCH(A42,'[1]liste reference'!$A$7:$A$906,0)),IF(ISERROR(MATCH(A42,'[1]liste reference'!$B$7:$B$906,0)),"",(MATCH(A42,'[1]liste reference'!$B$7:$B$906,0))),(MATCH(A42,'[1]liste reference'!$A$7:$A$906,0)))</f>
        <v>690</v>
      </c>
      <c r="Z42" s="209"/>
      <c r="AA42" s="210"/>
      <c r="BB42" s="8" t="n">
        <f aca="false">IF(A42="","",1)</f>
        <v>1</v>
      </c>
    </row>
    <row r="43" customFormat="false" ht="12.75" hidden="false" customHeight="false" outlineLevel="0" collapsed="false">
      <c r="A43" s="211" t="s">
        <v>94</v>
      </c>
      <c r="B43" s="212" t="n">
        <v>0.001</v>
      </c>
      <c r="C43" s="213"/>
      <c r="D43" s="214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4" t="n">
        <f aca="false">IF(D43="",,VLOOKUP(D43,D$22:D42,1,0))</f>
        <v>0</v>
      </c>
      <c r="F43" s="224" t="n">
        <f aca="false">($B43*$B$7+$C43*$C$7)/100</f>
        <v>0.001</v>
      </c>
      <c r="G43" s="216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>    -</v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7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8" t="s">
        <v>95</v>
      </c>
      <c r="L43" s="219"/>
      <c r="M43" s="219"/>
      <c r="N43" s="219"/>
      <c r="O43" s="203" t="s">
        <v>96</v>
      </c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20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W43" s="207"/>
      <c r="X43" s="205" t="str">
        <f aca="false">IF(A43="new.cod","NEW.COD",IF(AND((Y43=""),ISTEXT(A43)),A43,IF(Y43="","",INDEX('[1]liste reference'!$A$7:$A$906,Y43))))</f>
        <v>NEWCOD</v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9" t="s">
        <v>96</v>
      </c>
      <c r="AA43" s="210" t="s">
        <v>97</v>
      </c>
      <c r="BB43" s="8" t="n">
        <f aca="false">IF(A43="","",1)</f>
        <v>1</v>
      </c>
    </row>
    <row r="44" customFormat="false" ht="12.75" hidden="false" customHeight="false" outlineLevel="0" collapsed="false">
      <c r="A44" s="211" t="s">
        <v>98</v>
      </c>
      <c r="B44" s="212" t="n">
        <v>0.001</v>
      </c>
      <c r="C44" s="213"/>
      <c r="D44" s="214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>Epilobium hirsutum</v>
      </c>
      <c r="E44" s="214" t="e">
        <f aca="false">IF(D44="",,VLOOKUP(D44,D$22:D43,1,0))</f>
        <v>#N/A</v>
      </c>
      <c r="F44" s="224" t="n">
        <f aca="false">($B44*$B$7+$C44*$C$7)/100</f>
        <v>0.001</v>
      </c>
      <c r="G44" s="216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>PHg</v>
      </c>
      <c r="H44" s="198" t="n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9</v>
      </c>
      <c r="I44" s="217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8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>Epilobium hirsutum</v>
      </c>
      <c r="L44" s="219"/>
      <c r="M44" s="219"/>
      <c r="N44" s="219"/>
      <c r="O44" s="203"/>
      <c r="P44" s="204" t="n">
        <f aca="false">IF(ISTEXT(H44),"",(B44*$B$7/100)+(C44*$C$7/100))</f>
        <v>0.001</v>
      </c>
      <c r="Q44" s="205" t="n">
        <f aca="false">IF(OR(ISTEXT(H44),P44=0),"",IF(P44&lt;0.1,1,IF(P44&lt;1,2,IF(P44&lt;10,3,IF(P44&lt;50,4,IF(P44&gt;=50,5,""))))))</f>
        <v>1</v>
      </c>
      <c r="R44" s="205" t="n">
        <f aca="false">IF(ISERROR(Q44*I44),0,Q44*I44)</f>
        <v>0</v>
      </c>
      <c r="S44" s="205" t="n">
        <f aca="false">IF(ISERROR(Q44*I44*J44),0,Q44*I44*J44)</f>
        <v>0</v>
      </c>
      <c r="T44" s="220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>EPIHIR</v>
      </c>
      <c r="Y44" s="8" t="n">
        <f aca="false">IF(ISERROR(MATCH(A44,'[1]liste reference'!$A$7:$A$906,0)),IF(ISERROR(MATCH(A44,'[1]liste reference'!$B$7:$B$906,0)),"",(MATCH(A44,'[1]liste reference'!$B$7:$B$906,0))),(MATCH(A44,'[1]liste reference'!$A$7:$A$906,0)))</f>
        <v>750</v>
      </c>
      <c r="Z44" s="209"/>
      <c r="AA44" s="210"/>
      <c r="BB44" s="8" t="n">
        <f aca="false">IF(A44="","",1)</f>
        <v>1</v>
      </c>
    </row>
    <row r="45" customFormat="false" ht="12.75" hidden="false" customHeight="false" outlineLevel="0" collapsed="false">
      <c r="A45" s="211" t="s">
        <v>99</v>
      </c>
      <c r="B45" s="212" t="n">
        <v>0.001</v>
      </c>
      <c r="C45" s="213"/>
      <c r="D45" s="214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>Juncus articulatus</v>
      </c>
      <c r="E45" s="214" t="e">
        <f aca="false">IF(D45="",,VLOOKUP(D45,D$22:D44,1,0))</f>
        <v>#N/A</v>
      </c>
      <c r="F45" s="224" t="n">
        <f aca="false">($B45*$B$7+$C45*$C$7)/100</f>
        <v>0.001</v>
      </c>
      <c r="G45" s="216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>PHg</v>
      </c>
      <c r="H45" s="198" t="n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9</v>
      </c>
      <c r="I45" s="217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8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>Juncus articulatus</v>
      </c>
      <c r="L45" s="219"/>
      <c r="M45" s="219"/>
      <c r="N45" s="219"/>
      <c r="O45" s="203"/>
      <c r="P45" s="204" t="n">
        <f aca="false">IF(ISTEXT(H45),"",(B45*$B$7/100)+(C45*$C$7/100))</f>
        <v>0.001</v>
      </c>
      <c r="Q45" s="205" t="n">
        <f aca="false">IF(OR(ISTEXT(H45),P45=0),"",IF(P45&lt;0.1,1,IF(P45&lt;1,2,IF(P45&lt;10,3,IF(P45&lt;50,4,IF(P45&gt;=50,5,""))))))</f>
        <v>1</v>
      </c>
      <c r="R45" s="205" t="n">
        <f aca="false">IF(ISERROR(Q45*I45),0,Q45*I45)</f>
        <v>0</v>
      </c>
      <c r="S45" s="205" t="n">
        <f aca="false">IF(ISERROR(Q45*I45*J45),0,Q45*I45*J45)</f>
        <v>0</v>
      </c>
      <c r="T45" s="220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>JUNART</v>
      </c>
      <c r="Y45" s="8" t="n">
        <f aca="false">IF(ISERROR(MATCH(A45,'[1]liste reference'!$A$7:$A$906,0)),IF(ISERROR(MATCH(A45,'[1]liste reference'!$B$7:$B$906,0)),"",(MATCH(A45,'[1]liste reference'!$B$7:$B$906,0))),(MATCH(A45,'[1]liste reference'!$A$7:$A$906,0)))</f>
        <v>775</v>
      </c>
      <c r="Z45" s="209"/>
      <c r="AA45" s="210"/>
      <c r="BB45" s="8" t="n">
        <f aca="false">IF(A45="","",1)</f>
        <v>1</v>
      </c>
    </row>
    <row r="46" customFormat="false" ht="12.75" hidden="false" customHeight="false" outlineLevel="0" collapsed="false">
      <c r="A46" s="211" t="s">
        <v>100</v>
      </c>
      <c r="B46" s="212" t="n">
        <v>0.001</v>
      </c>
      <c r="C46" s="213"/>
      <c r="D46" s="214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>Juncus bufonius</v>
      </c>
      <c r="E46" s="214" t="e">
        <f aca="false">IF(D46="",,VLOOKUP(D46,D$22:D45,1,0))</f>
        <v>#N/A</v>
      </c>
      <c r="F46" s="224" t="n">
        <f aca="false">($B46*$B$7+$C46*$C$7)/100</f>
        <v>0.001</v>
      </c>
      <c r="G46" s="216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>PHg</v>
      </c>
      <c r="H46" s="198" t="n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9</v>
      </c>
      <c r="I46" s="217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8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>Juncus bufonius</v>
      </c>
      <c r="L46" s="219"/>
      <c r="M46" s="219"/>
      <c r="N46" s="219"/>
      <c r="O46" s="203"/>
      <c r="P46" s="204" t="n">
        <f aca="false">IF(ISTEXT(H46),"",(B46*$B$7/100)+(C46*$C$7/100))</f>
        <v>0.001</v>
      </c>
      <c r="Q46" s="205" t="n">
        <f aca="false">IF(OR(ISTEXT(H46),P46=0),"",IF(P46&lt;0.1,1,IF(P46&lt;1,2,IF(P46&lt;10,3,IF(P46&lt;50,4,IF(P46&gt;=50,5,""))))))</f>
        <v>1</v>
      </c>
      <c r="R46" s="205" t="n">
        <f aca="false">IF(ISERROR(Q46*I46),0,Q46*I46)</f>
        <v>0</v>
      </c>
      <c r="S46" s="205" t="n">
        <f aca="false">IF(ISERROR(Q46*I46*J46),0,Q46*I46*J46)</f>
        <v>0</v>
      </c>
      <c r="T46" s="220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W46" s="207"/>
      <c r="X46" s="205" t="str">
        <f aca="false">IF(A46="new.cod","NEW.COD",IF(AND((Y46=""),ISTEXT(A46)),A46,IF(Y46="","",INDEX('[1]liste reference'!$A$7:$A$906,Y46))))</f>
        <v>JUNBUF</v>
      </c>
      <c r="Y46" s="8" t="n">
        <f aca="false">IF(ISERROR(MATCH(A46,'[1]liste reference'!$A$7:$A$906,0)),IF(ISERROR(MATCH(A46,'[1]liste reference'!$B$7:$B$906,0)),"",(MATCH(A46,'[1]liste reference'!$B$7:$B$906,0))),(MATCH(A46,'[1]liste reference'!$A$7:$A$906,0)))</f>
        <v>776</v>
      </c>
      <c r="Z46" s="209"/>
      <c r="AA46" s="210"/>
      <c r="BB46" s="8" t="n">
        <f aca="false">IF(A46="","",1)</f>
        <v>1</v>
      </c>
    </row>
    <row r="47" customFormat="false" ht="12.75" hidden="false" customHeight="false" outlineLevel="0" collapsed="false">
      <c r="A47" s="211" t="s">
        <v>101</v>
      </c>
      <c r="B47" s="212" t="n">
        <v>0.001</v>
      </c>
      <c r="C47" s="213"/>
      <c r="D47" s="214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>Polygonum sp.</v>
      </c>
      <c r="E47" s="214" t="e">
        <f aca="false">IF(D47="",,VLOOKUP(D47,D$22:D46,1,0))</f>
        <v>#N/A</v>
      </c>
      <c r="F47" s="224" t="n">
        <f aca="false">($B47*$B$7+$C47*$C$7)/100</f>
        <v>0.001</v>
      </c>
      <c r="G47" s="216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>PHg</v>
      </c>
      <c r="H47" s="198" t="n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9</v>
      </c>
      <c r="I47" s="217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8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>Polygonum sp.</v>
      </c>
      <c r="L47" s="221"/>
      <c r="M47" s="221"/>
      <c r="N47" s="221"/>
      <c r="O47" s="222"/>
      <c r="P47" s="204" t="n">
        <f aca="false">IF(ISTEXT(H47),"",(B47*$B$7/100)+(C47*$C$7/100))</f>
        <v>0.001</v>
      </c>
      <c r="Q47" s="205" t="n">
        <f aca="false">IF(OR(ISTEXT(H47),P47=0),"",IF(P47&lt;0.1,1,IF(P47&lt;1,2,IF(P47&lt;10,3,IF(P47&lt;50,4,IF(P47&gt;=50,5,""))))))</f>
        <v>1</v>
      </c>
      <c r="R47" s="205" t="n">
        <f aca="false">IF(ISERROR(Q47*I47),0,Q47*I47)</f>
        <v>0</v>
      </c>
      <c r="S47" s="205" t="n">
        <f aca="false">IF(ISERROR(Q47*I47*J47),0,Q47*I47*J47)</f>
        <v>0</v>
      </c>
      <c r="T47" s="220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>POLSPX</v>
      </c>
      <c r="Y47" s="8" t="n">
        <f aca="false">IF(ISERROR(MATCH(A47,'[1]liste reference'!$A$7:$A$906,0)),IF(ISERROR(MATCH(A47,'[1]liste reference'!$B$7:$B$906,0)),"",(MATCH(A47,'[1]liste reference'!$B$7:$B$906,0))),(MATCH(A47,'[1]liste reference'!$A$7:$A$906,0)))</f>
        <v>806</v>
      </c>
      <c r="Z47" s="209"/>
      <c r="AA47" s="210" t="s">
        <v>102</v>
      </c>
      <c r="BB47" s="8" t="n">
        <f aca="false">IF(A47="","",1)</f>
        <v>1</v>
      </c>
    </row>
    <row r="48" customFormat="false" ht="12.75" hidden="false" customHeight="false" outlineLevel="0" collapsed="false">
      <c r="A48" s="211" t="s">
        <v>103</v>
      </c>
      <c r="B48" s="212" t="n">
        <v>0.001</v>
      </c>
      <c r="C48" s="213"/>
      <c r="D48" s="214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>Solanum dulcamara</v>
      </c>
      <c r="E48" s="214" t="e">
        <f aca="false">IF(D48="",,VLOOKUP(D48,D$22:D47,1,0))</f>
        <v>#N/A</v>
      </c>
      <c r="F48" s="224" t="n">
        <f aca="false">($B48*$B$7+$C48*$C$7)/100</f>
        <v>0.001</v>
      </c>
      <c r="G48" s="216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>PHg</v>
      </c>
      <c r="H48" s="198" t="n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9</v>
      </c>
      <c r="I48" s="217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8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>Solanum dulcamara</v>
      </c>
      <c r="L48" s="219"/>
      <c r="M48" s="219"/>
      <c r="N48" s="219"/>
      <c r="O48" s="203"/>
      <c r="P48" s="204" t="n">
        <f aca="false">IF(ISTEXT(H48),"",(B48*$B$7/100)+(C48*$C$7/100))</f>
        <v>0.001</v>
      </c>
      <c r="Q48" s="205" t="n">
        <f aca="false">IF(OR(ISTEXT(H48),P48=0),"",IF(P48&lt;0.1,1,IF(P48&lt;1,2,IF(P48&lt;10,3,IF(P48&lt;50,4,IF(P48&gt;=50,5,""))))))</f>
        <v>1</v>
      </c>
      <c r="R48" s="205" t="n">
        <f aca="false">IF(ISERROR(Q48*I48),0,Q48*I48)</f>
        <v>0</v>
      </c>
      <c r="S48" s="205" t="n">
        <f aca="false">IF(ISERROR(Q48*I48*J48),0,Q48*I48*J48)</f>
        <v>0</v>
      </c>
      <c r="T48" s="220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>SOADUL</v>
      </c>
      <c r="Y48" s="8" t="n">
        <f aca="false">IF(ISERROR(MATCH(A48,'[1]liste reference'!$A$7:$A$906,0)),IF(ISERROR(MATCH(A48,'[1]liste reference'!$B$7:$B$906,0)),"",(MATCH(A48,'[1]liste reference'!$B$7:$B$906,0))),(MATCH(A48,'[1]liste reference'!$A$7:$A$906,0)))</f>
        <v>831</v>
      </c>
      <c r="Z48" s="209"/>
      <c r="AA48" s="210"/>
      <c r="BB48" s="8" t="n">
        <f aca="false">IF(A48="","",1)</f>
        <v>1</v>
      </c>
    </row>
    <row r="49" customFormat="false" ht="12.75" hidden="false" customHeight="false" outlineLevel="0" collapsed="false">
      <c r="A49" s="211"/>
      <c r="B49" s="212"/>
      <c r="C49" s="213"/>
      <c r="D49" s="214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4" t="n">
        <f aca="false">IF(D49="",,VLOOKUP(D49,D$22:D48,1,0))</f>
        <v>0</v>
      </c>
      <c r="F49" s="224" t="n">
        <f aca="false">($B49*$B$7+$C49*$C$7)/100</f>
        <v>0</v>
      </c>
      <c r="G49" s="216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7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8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9"/>
      <c r="M49" s="219"/>
      <c r="N49" s="219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20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9"/>
      <c r="AA49" s="210"/>
      <c r="BB49" s="8" t="str">
        <f aca="false">IF(A49="","",1)</f>
        <v/>
      </c>
    </row>
    <row r="50" customFormat="false" ht="12.75" hidden="false" customHeight="false" outlineLevel="0" collapsed="false">
      <c r="A50" s="211"/>
      <c r="B50" s="212"/>
      <c r="C50" s="213"/>
      <c r="D50" s="214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4" t="n">
        <f aca="false">IF(D50="",,VLOOKUP(D50,D$22:D49,1,0))</f>
        <v>0</v>
      </c>
      <c r="F50" s="224" t="n">
        <f aca="false">($B50*$B$7+$C50*$C$7)/100</f>
        <v>0</v>
      </c>
      <c r="G50" s="216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7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8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9"/>
      <c r="M50" s="219"/>
      <c r="N50" s="219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20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9"/>
      <c r="AA50" s="210"/>
      <c r="BB50" s="8" t="str">
        <f aca="false">IF(A50="","",1)</f>
        <v/>
      </c>
    </row>
    <row r="51" customFormat="false" ht="12.75" hidden="false" customHeight="false" outlineLevel="0" collapsed="false">
      <c r="A51" s="211"/>
      <c r="B51" s="212"/>
      <c r="C51" s="213"/>
      <c r="D51" s="214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4" t="n">
        <f aca="false">IF(D51="",,VLOOKUP(D51,D$22:D50,1,0))</f>
        <v>0</v>
      </c>
      <c r="F51" s="224" t="n">
        <f aca="false">($B51*$B$7+$C51*$C$7)/100</f>
        <v>0</v>
      </c>
      <c r="G51" s="216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7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8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9"/>
      <c r="M51" s="219"/>
      <c r="N51" s="219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20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9"/>
      <c r="AA51" s="210"/>
      <c r="BB51" s="8" t="str">
        <f aca="false">IF(A51="","",1)</f>
        <v/>
      </c>
    </row>
    <row r="52" customFormat="false" ht="12.75" hidden="false" customHeight="false" outlineLevel="0" collapsed="false">
      <c r="A52" s="211"/>
      <c r="B52" s="212"/>
      <c r="C52" s="213"/>
      <c r="D52" s="214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4" t="n">
        <f aca="false">IF(D52="",,VLOOKUP(D52,D$22:D51,1,0))</f>
        <v>0</v>
      </c>
      <c r="F52" s="224" t="n">
        <f aca="false">($B52*$B$7+$C52*$C$7)/100</f>
        <v>0</v>
      </c>
      <c r="G52" s="216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7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8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9"/>
      <c r="M52" s="219"/>
      <c r="N52" s="219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20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9"/>
      <c r="AA52" s="210"/>
      <c r="BB52" s="8" t="str">
        <f aca="false">IF(A52="","",1)</f>
        <v/>
      </c>
    </row>
    <row r="53" customFormat="false" ht="12.75" hidden="false" customHeight="false" outlineLevel="0" collapsed="false">
      <c r="A53" s="211"/>
      <c r="B53" s="212"/>
      <c r="C53" s="213"/>
      <c r="D53" s="214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4" t="n">
        <f aca="false">IF(D53="",,VLOOKUP(D53,D$22:D52,1,0))</f>
        <v>0</v>
      </c>
      <c r="F53" s="224" t="n">
        <f aca="false">($B53*$B$7+$C53*$C$7)/100</f>
        <v>0</v>
      </c>
      <c r="G53" s="216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7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8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9"/>
      <c r="M53" s="219"/>
      <c r="N53" s="219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20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9"/>
      <c r="AA53" s="210"/>
      <c r="BB53" s="8" t="str">
        <f aca="false">IF(A53="","",1)</f>
        <v/>
      </c>
    </row>
    <row r="54" customFormat="false" ht="12.75" hidden="false" customHeight="false" outlineLevel="0" collapsed="false">
      <c r="A54" s="211"/>
      <c r="B54" s="212"/>
      <c r="C54" s="213"/>
      <c r="D54" s="214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4" t="n">
        <f aca="false">IF(D54="",,VLOOKUP(D54,D$22:D53,1,0))</f>
        <v>0</v>
      </c>
      <c r="F54" s="224" t="n">
        <f aca="false">($B54*$B$7+$C54*$C$7)/100</f>
        <v>0</v>
      </c>
      <c r="G54" s="216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7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8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9"/>
      <c r="M54" s="219"/>
      <c r="N54" s="219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20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9"/>
      <c r="AA54" s="210"/>
      <c r="BB54" s="8" t="str">
        <f aca="false">IF(A54="","",1)</f>
        <v/>
      </c>
    </row>
    <row r="55" customFormat="false" ht="12.75" hidden="false" customHeight="false" outlineLevel="0" collapsed="false">
      <c r="A55" s="211"/>
      <c r="B55" s="212"/>
      <c r="C55" s="213"/>
      <c r="D55" s="214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4" t="n">
        <f aca="false">IF(D55="",,VLOOKUP(D55,D$22:D54,1,0))</f>
        <v>0</v>
      </c>
      <c r="F55" s="224" t="n">
        <f aca="false">($B55*$B$7+$C55*$C$7)/100</f>
        <v>0</v>
      </c>
      <c r="G55" s="216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7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8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9"/>
      <c r="M55" s="219"/>
      <c r="N55" s="219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20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9"/>
      <c r="AA55" s="210"/>
      <c r="BB55" s="8" t="str">
        <f aca="false">IF(A55="","",1)</f>
        <v/>
      </c>
    </row>
    <row r="56" customFormat="false" ht="12.75" hidden="false" customHeight="false" outlineLevel="0" collapsed="false">
      <c r="A56" s="211"/>
      <c r="B56" s="212"/>
      <c r="C56" s="213"/>
      <c r="D56" s="214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4" t="n">
        <f aca="false">IF(D56="",,VLOOKUP(D56,D$22:D55,1,0))</f>
        <v>0</v>
      </c>
      <c r="F56" s="224" t="n">
        <f aca="false">($B56*$B$7+$C56*$C$7)/100</f>
        <v>0</v>
      </c>
      <c r="G56" s="216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7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8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9"/>
      <c r="M56" s="219"/>
      <c r="N56" s="219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20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9"/>
      <c r="AA56" s="210"/>
      <c r="BB56" s="8" t="str">
        <f aca="false">IF(A56="","",1)</f>
        <v/>
      </c>
    </row>
    <row r="57" customFormat="false" ht="12.75" hidden="false" customHeight="false" outlineLevel="0" collapsed="false">
      <c r="A57" s="211"/>
      <c r="B57" s="212"/>
      <c r="C57" s="213"/>
      <c r="D57" s="214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4" t="n">
        <f aca="false">IF(D57="",,VLOOKUP(D57,D$22:D56,1,0))</f>
        <v>0</v>
      </c>
      <c r="F57" s="224" t="n">
        <f aca="false">($B57*$B$7+$C57*$C$7)/100</f>
        <v>0</v>
      </c>
      <c r="G57" s="216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7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8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9"/>
      <c r="M57" s="219"/>
      <c r="N57" s="219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20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9"/>
      <c r="AA57" s="210"/>
      <c r="BB57" s="8" t="str">
        <f aca="false">IF(A57="","",1)</f>
        <v/>
      </c>
    </row>
    <row r="58" customFormat="false" ht="12.75" hidden="false" customHeight="false" outlineLevel="0" collapsed="false">
      <c r="A58" s="211"/>
      <c r="B58" s="212"/>
      <c r="C58" s="213"/>
      <c r="D58" s="214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4" t="n">
        <f aca="false">IF(D58="",,VLOOKUP(D58,D$22:D57,1,0))</f>
        <v>0</v>
      </c>
      <c r="F58" s="224" t="n">
        <f aca="false">($B58*$B$7+$C58*$C$7)/100</f>
        <v>0</v>
      </c>
      <c r="G58" s="216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7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8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9"/>
      <c r="M58" s="219"/>
      <c r="N58" s="219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20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9"/>
      <c r="AA58" s="210"/>
      <c r="BB58" s="8" t="str">
        <f aca="false">IF(A58="","",1)</f>
        <v/>
      </c>
    </row>
    <row r="59" customFormat="false" ht="12.75" hidden="false" customHeight="false" outlineLevel="0" collapsed="false">
      <c r="A59" s="211"/>
      <c r="B59" s="212"/>
      <c r="C59" s="213"/>
      <c r="D59" s="214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4" t="n">
        <f aca="false">IF(D59="",,VLOOKUP(D59,D$22:D58,1,0))</f>
        <v>0</v>
      </c>
      <c r="F59" s="224" t="n">
        <f aca="false">($B59*$B$7+$C59*$C$7)/100</f>
        <v>0</v>
      </c>
      <c r="G59" s="216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7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8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9"/>
      <c r="M59" s="219"/>
      <c r="N59" s="219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20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9"/>
      <c r="AA59" s="210"/>
      <c r="BB59" s="8" t="str">
        <f aca="false">IF(A59="","",1)</f>
        <v/>
      </c>
    </row>
    <row r="60" customFormat="false" ht="12.75" hidden="false" customHeight="false" outlineLevel="0" collapsed="false">
      <c r="A60" s="211"/>
      <c r="B60" s="212"/>
      <c r="C60" s="213"/>
      <c r="D60" s="214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4" t="n">
        <f aca="false">IF(D60="",,VLOOKUP(D60,D$22:D59,1,0))</f>
        <v>0</v>
      </c>
      <c r="F60" s="224" t="n">
        <f aca="false">($B60*$B$7+$C60*$C$7)/100</f>
        <v>0</v>
      </c>
      <c r="G60" s="216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7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8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9"/>
      <c r="M60" s="219"/>
      <c r="N60" s="219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20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9"/>
      <c r="AA60" s="210"/>
      <c r="BB60" s="8" t="str">
        <f aca="false">IF(A60="","",1)</f>
        <v/>
      </c>
    </row>
    <row r="61" customFormat="false" ht="12.75" hidden="false" customHeight="false" outlineLevel="0" collapsed="false">
      <c r="A61" s="211"/>
      <c r="B61" s="212"/>
      <c r="C61" s="213"/>
      <c r="D61" s="214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4" t="n">
        <f aca="false">IF(D61="",,VLOOKUP(D61,D$22:D54,1,0))</f>
        <v>0</v>
      </c>
      <c r="F61" s="224" t="n">
        <f aca="false">($B61*$B$7+$C61*$C$7)/100</f>
        <v>0</v>
      </c>
      <c r="G61" s="216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7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8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9"/>
      <c r="M61" s="219"/>
      <c r="N61" s="219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20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9"/>
      <c r="AA61" s="210"/>
      <c r="BB61" s="8" t="str">
        <f aca="false">IF(A61="","",1)</f>
        <v/>
      </c>
    </row>
    <row r="62" customFormat="false" ht="12.75" hidden="false" customHeight="false" outlineLevel="0" collapsed="false">
      <c r="A62" s="211"/>
      <c r="B62" s="212"/>
      <c r="C62" s="213"/>
      <c r="D62" s="214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4" t="n">
        <f aca="false">IF(D62="",,VLOOKUP(D62,D$22:D54,1,0))</f>
        <v>0</v>
      </c>
      <c r="F62" s="224" t="n">
        <f aca="false">($B62*$B$7+$C62*$C$7)/100</f>
        <v>0</v>
      </c>
      <c r="G62" s="216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7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8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9"/>
      <c r="M62" s="219"/>
      <c r="N62" s="219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20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9"/>
      <c r="AA62" s="210"/>
      <c r="BB62" s="8" t="str">
        <f aca="false">IF(A62="","",1)</f>
        <v/>
      </c>
    </row>
    <row r="63" customFormat="false" ht="12.75" hidden="false" customHeight="false" outlineLevel="0" collapsed="false">
      <c r="A63" s="211"/>
      <c r="B63" s="212"/>
      <c r="C63" s="213"/>
      <c r="D63" s="214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4" t="n">
        <f aca="false">IF(D63="",,VLOOKUP(D63,D$22:D55,1,0))</f>
        <v>0</v>
      </c>
      <c r="F63" s="224" t="n">
        <f aca="false">($B63*$B$7+$C63*$C$7)/100</f>
        <v>0</v>
      </c>
      <c r="G63" s="216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7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8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9"/>
      <c r="M63" s="219"/>
      <c r="N63" s="219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20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9"/>
      <c r="AA63" s="210"/>
      <c r="BB63" s="8" t="str">
        <f aca="false">IF(A63="","",1)</f>
        <v/>
      </c>
    </row>
    <row r="64" customFormat="false" ht="12.75" hidden="true" customHeight="true" outlineLevel="0" collapsed="false">
      <c r="A64" s="211"/>
      <c r="B64" s="212"/>
      <c r="C64" s="213"/>
      <c r="D64" s="214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4" t="n">
        <f aca="false">IF(D64="",,VLOOKUP(D64,D$22:D52,1,0))</f>
        <v>0</v>
      </c>
      <c r="F64" s="224" t="n">
        <f aca="false">($B64*$B$7+$C64*$C$7)/100</f>
        <v>0</v>
      </c>
      <c r="G64" s="216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7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8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9"/>
      <c r="M64" s="219"/>
      <c r="N64" s="219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20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9"/>
      <c r="AA64" s="210"/>
      <c r="BB64" s="8" t="str">
        <f aca="false">IF(A64="","",1)</f>
        <v/>
      </c>
    </row>
    <row r="65" customFormat="false" ht="12.75" hidden="true" customHeight="false" outlineLevel="0" collapsed="false">
      <c r="A65" s="211"/>
      <c r="B65" s="212"/>
      <c r="C65" s="213"/>
      <c r="D65" s="214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4" t="n">
        <f aca="false">IF(D65="",,VLOOKUP(D65,D$22:D53,1,0))</f>
        <v>0</v>
      </c>
      <c r="F65" s="224" t="n">
        <f aca="false">($B65*$B$7+$C65*$C$7)/100</f>
        <v>0</v>
      </c>
      <c r="G65" s="216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7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8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9"/>
      <c r="M65" s="219"/>
      <c r="N65" s="219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20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9"/>
      <c r="AA65" s="210"/>
      <c r="BB65" s="8" t="str">
        <f aca="false">IF(A65="","",1)</f>
        <v/>
      </c>
    </row>
    <row r="66" customFormat="false" ht="12.75" hidden="true" customHeight="false" outlineLevel="0" collapsed="false">
      <c r="A66" s="211"/>
      <c r="B66" s="212"/>
      <c r="C66" s="213"/>
      <c r="D66" s="214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4" t="n">
        <f aca="false">IF(D66="",,VLOOKUP(D66,D$22:D51,1,0))</f>
        <v>0</v>
      </c>
      <c r="F66" s="224" t="n">
        <f aca="false">($B66*$B$7+$C66*$C$7)/100</f>
        <v>0</v>
      </c>
      <c r="G66" s="216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7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8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9"/>
      <c r="M66" s="219"/>
      <c r="N66" s="219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20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9"/>
      <c r="AA66" s="210"/>
      <c r="BB66" s="8" t="str">
        <f aca="false">IF(A66="","",1)</f>
        <v/>
      </c>
    </row>
    <row r="67" customFormat="false" ht="12.75" hidden="true" customHeight="false" outlineLevel="0" collapsed="false">
      <c r="A67" s="211"/>
      <c r="B67" s="212"/>
      <c r="C67" s="213"/>
      <c r="D67" s="214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4" t="n">
        <f aca="false">IF(D67="",,VLOOKUP(D67,D$22:D52,1,0))</f>
        <v>0</v>
      </c>
      <c r="F67" s="224" t="n">
        <f aca="false">($B67*$B$7+$C67*$C$7)/100</f>
        <v>0</v>
      </c>
      <c r="G67" s="216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7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8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9"/>
      <c r="M67" s="219"/>
      <c r="N67" s="219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20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9"/>
      <c r="AA67" s="210"/>
      <c r="BB67" s="8" t="str">
        <f aca="false">IF(A67="","",1)</f>
        <v/>
      </c>
    </row>
    <row r="68" customFormat="false" ht="12.75" hidden="true" customHeight="false" outlineLevel="0" collapsed="false">
      <c r="A68" s="211"/>
      <c r="B68" s="212"/>
      <c r="C68" s="213"/>
      <c r="D68" s="214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4" t="n">
        <f aca="false">IF(D68="",,VLOOKUP(D68,D$22:D53,1,0))</f>
        <v>0</v>
      </c>
      <c r="F68" s="224" t="n">
        <f aca="false">($B68*$B$7+$C68*$C$7)/100</f>
        <v>0</v>
      </c>
      <c r="G68" s="216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7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8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9"/>
      <c r="M68" s="219"/>
      <c r="N68" s="219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20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9"/>
      <c r="AA68" s="210"/>
      <c r="BB68" s="8" t="str">
        <f aca="false">IF(A68="","",1)</f>
        <v/>
      </c>
    </row>
    <row r="69" customFormat="false" ht="12.75" hidden="true" customHeight="false" outlineLevel="0" collapsed="false">
      <c r="A69" s="211"/>
      <c r="B69" s="212"/>
      <c r="C69" s="213"/>
      <c r="D69" s="214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4" t="n">
        <f aca="false">IF(D69="",,VLOOKUP(D69,D$22:D54,1,0))</f>
        <v>0</v>
      </c>
      <c r="F69" s="224" t="n">
        <f aca="false">($B69*$B$7+$C69*$C$7)/100</f>
        <v>0</v>
      </c>
      <c r="G69" s="216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7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8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9"/>
      <c r="M69" s="219"/>
      <c r="N69" s="219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20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9"/>
      <c r="AA69" s="210"/>
      <c r="BB69" s="8" t="str">
        <f aca="false">IF(A69="","",1)</f>
        <v/>
      </c>
    </row>
    <row r="70" customFormat="false" ht="12.75" hidden="true" customHeight="false" outlineLevel="0" collapsed="false">
      <c r="A70" s="211"/>
      <c r="B70" s="212"/>
      <c r="C70" s="213"/>
      <c r="D70" s="214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4" t="n">
        <f aca="false">IF(D70="",,VLOOKUP(D70,D$22:D55,1,0))</f>
        <v>0</v>
      </c>
      <c r="F70" s="224" t="n">
        <f aca="false">($B70*$B$7+$C70*$C$7)/100</f>
        <v>0</v>
      </c>
      <c r="G70" s="216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7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8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9"/>
      <c r="M70" s="219"/>
      <c r="N70" s="219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20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9"/>
      <c r="AA70" s="210"/>
      <c r="BB70" s="8" t="str">
        <f aca="false">IF(A70="","",1)</f>
        <v/>
      </c>
    </row>
    <row r="71" customFormat="false" ht="12.75" hidden="true" customHeight="false" outlineLevel="0" collapsed="false">
      <c r="A71" s="211"/>
      <c r="B71" s="212"/>
      <c r="C71" s="213"/>
      <c r="D71" s="214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4" t="n">
        <f aca="false">IF(D71="",,VLOOKUP(D71,D$22:D56,1,0))</f>
        <v>0</v>
      </c>
      <c r="F71" s="224" t="n">
        <f aca="false">($B71*$B$7+$C71*$C$7)/100</f>
        <v>0</v>
      </c>
      <c r="G71" s="216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7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8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9"/>
      <c r="M71" s="219"/>
      <c r="N71" s="219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20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9"/>
      <c r="AA71" s="210"/>
      <c r="BB71" s="8" t="str">
        <f aca="false">IF(A71="","",1)</f>
        <v/>
      </c>
    </row>
    <row r="72" customFormat="false" ht="12.75" hidden="true" customHeight="false" outlineLevel="0" collapsed="false">
      <c r="A72" s="211"/>
      <c r="B72" s="212"/>
      <c r="C72" s="213"/>
      <c r="D72" s="214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4" t="n">
        <f aca="false">IF(D72="",,VLOOKUP(D72,D$22:D57,1,0))</f>
        <v>0</v>
      </c>
      <c r="F72" s="224" t="n">
        <f aca="false">($B72*$B$7+$C72*$C$7)/100</f>
        <v>0</v>
      </c>
      <c r="G72" s="216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7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8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9"/>
      <c r="M72" s="219"/>
      <c r="N72" s="219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20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9"/>
      <c r="AA72" s="210"/>
      <c r="BB72" s="8" t="str">
        <f aca="false">IF(A72="","",1)</f>
        <v/>
      </c>
    </row>
    <row r="73" customFormat="false" ht="12.75" hidden="true" customHeight="false" outlineLevel="0" collapsed="false">
      <c r="A73" s="211"/>
      <c r="B73" s="212"/>
      <c r="C73" s="213"/>
      <c r="D73" s="214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4" t="n">
        <f aca="false">IF(D73="",,VLOOKUP(D73,D$22:D57,1,0))</f>
        <v>0</v>
      </c>
      <c r="F73" s="224" t="n">
        <f aca="false">($B73*$B$7+$C73*$C$7)/100</f>
        <v>0</v>
      </c>
      <c r="G73" s="216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7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8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9"/>
      <c r="M73" s="219"/>
      <c r="N73" s="219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20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9"/>
      <c r="AA73" s="210"/>
      <c r="BB73" s="8" t="str">
        <f aca="false">IF(A73="","",1)</f>
        <v/>
      </c>
    </row>
    <row r="74" customFormat="false" ht="12.75" hidden="true" customHeight="false" outlineLevel="0" collapsed="false">
      <c r="A74" s="211"/>
      <c r="B74" s="212"/>
      <c r="C74" s="213"/>
      <c r="D74" s="214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4" t="n">
        <f aca="false">IF(D74="",,VLOOKUP(D74,D$22:D58,1,0))</f>
        <v>0</v>
      </c>
      <c r="F74" s="224" t="n">
        <f aca="false">($B74*$B$7+$C74*$C$7)/100</f>
        <v>0</v>
      </c>
      <c r="G74" s="216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7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8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9"/>
      <c r="M74" s="219"/>
      <c r="N74" s="219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20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9"/>
      <c r="AA74" s="210"/>
      <c r="BB74" s="8" t="str">
        <f aca="false">IF(A74="","",1)</f>
        <v/>
      </c>
    </row>
    <row r="75" customFormat="false" ht="12.75" hidden="true" customHeight="false" outlineLevel="0" collapsed="false">
      <c r="A75" s="211"/>
      <c r="B75" s="212"/>
      <c r="C75" s="213"/>
      <c r="D75" s="214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4" t="n">
        <f aca="false">IF(D75="",,VLOOKUP(D75,D$22:D59,1,0))</f>
        <v>0</v>
      </c>
      <c r="F75" s="224" t="n">
        <f aca="false">($B75*$B$7+$C75*$C$7)/100</f>
        <v>0</v>
      </c>
      <c r="G75" s="216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7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8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9"/>
      <c r="M75" s="219"/>
      <c r="N75" s="219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20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9"/>
      <c r="AA75" s="210"/>
      <c r="BB75" s="8" t="str">
        <f aca="false">IF(A75="","",1)</f>
        <v/>
      </c>
    </row>
    <row r="76" customFormat="false" ht="12.75" hidden="true" customHeight="false" outlineLevel="0" collapsed="false">
      <c r="A76" s="211"/>
      <c r="B76" s="212"/>
      <c r="C76" s="213"/>
      <c r="D76" s="214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4" t="n">
        <f aca="false">IF(D76="",,VLOOKUP(D76,D$22:D59,1,0))</f>
        <v>0</v>
      </c>
      <c r="F76" s="224" t="n">
        <f aca="false">($B76*$B$7+$C76*$C$7)/100</f>
        <v>0</v>
      </c>
      <c r="G76" s="216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7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8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9"/>
      <c r="M76" s="219"/>
      <c r="N76" s="219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20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9"/>
      <c r="AA76" s="210"/>
      <c r="BB76" s="8" t="str">
        <f aca="false">IF(A76="","",1)</f>
        <v/>
      </c>
    </row>
    <row r="77" customFormat="false" ht="12.75" hidden="true" customHeight="false" outlineLevel="0" collapsed="false">
      <c r="A77" s="211"/>
      <c r="B77" s="212"/>
      <c r="C77" s="213"/>
      <c r="D77" s="214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4" t="n">
        <f aca="false">IF(D77="",,VLOOKUP(D77,D$22:D75,1,0))</f>
        <v>0</v>
      </c>
      <c r="F77" s="224" t="n">
        <f aca="false">($B77*$B$7+$C77*$C$7)/100</f>
        <v>0</v>
      </c>
      <c r="G77" s="216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7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8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9"/>
      <c r="M77" s="219"/>
      <c r="N77" s="219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20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9"/>
      <c r="AA77" s="210"/>
      <c r="BB77" s="8" t="str">
        <f aca="false">IF(A77="","",1)</f>
        <v/>
      </c>
    </row>
    <row r="78" customFormat="false" ht="12.75" hidden="true" customHeight="false" outlineLevel="0" collapsed="false">
      <c r="A78" s="211"/>
      <c r="B78" s="212"/>
      <c r="C78" s="213"/>
      <c r="D78" s="214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4" t="n">
        <f aca="false">IF(D78="",,VLOOKUP(D78,D$22:D75,1,0))</f>
        <v>0</v>
      </c>
      <c r="F78" s="224" t="n">
        <f aca="false">($B78*$B$7+$C78*$C$7)/100</f>
        <v>0</v>
      </c>
      <c r="G78" s="216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7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8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9"/>
      <c r="M78" s="219"/>
      <c r="N78" s="219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20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9"/>
      <c r="AA78" s="210"/>
      <c r="BB78" s="8" t="str">
        <f aca="false">IF(A78="","",1)</f>
        <v/>
      </c>
    </row>
    <row r="79" customFormat="false" ht="12.75" hidden="true" customHeight="false" outlineLevel="0" collapsed="false">
      <c r="A79" s="211"/>
      <c r="B79" s="212"/>
      <c r="C79" s="213"/>
      <c r="D79" s="214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4" t="n">
        <f aca="false">IF(D79="",,VLOOKUP(D79,D$22:D75,1,0))</f>
        <v>0</v>
      </c>
      <c r="F79" s="224" t="n">
        <f aca="false">($B79*$B$7+$C79*$C$7)/100</f>
        <v>0</v>
      </c>
      <c r="G79" s="216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7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8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9"/>
      <c r="M79" s="219"/>
      <c r="N79" s="219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20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9"/>
      <c r="AA79" s="210"/>
      <c r="BB79" s="8" t="str">
        <f aca="false">IF(A79="","",1)</f>
        <v/>
      </c>
    </row>
    <row r="80" customFormat="false" ht="12.75" hidden="true" customHeight="false" outlineLevel="0" collapsed="false">
      <c r="A80" s="211"/>
      <c r="B80" s="212"/>
      <c r="C80" s="213"/>
      <c r="D80" s="214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4" t="n">
        <f aca="false">IF(D80="",,VLOOKUP(D80,D$22:D79,1,0))</f>
        <v>0</v>
      </c>
      <c r="F80" s="224" t="n">
        <f aca="false">($B80*$B$7+$C80*$C$7)/100</f>
        <v>0</v>
      </c>
      <c r="G80" s="216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7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8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9"/>
      <c r="M80" s="219"/>
      <c r="N80" s="219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20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9"/>
      <c r="AA80" s="210"/>
      <c r="BB80" s="8" t="str">
        <f aca="false">IF(A80="","",1)</f>
        <v/>
      </c>
    </row>
    <row r="81" customFormat="false" ht="12.75" hidden="true" customHeight="false" outlineLevel="0" collapsed="false">
      <c r="A81" s="211"/>
      <c r="B81" s="212"/>
      <c r="C81" s="213"/>
      <c r="D81" s="214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4" t="n">
        <f aca="false">IF(D81="",,VLOOKUP(D81,D$21:D80,1,0))</f>
        <v>0</v>
      </c>
      <c r="F81" s="224" t="n">
        <f aca="false">($B81*$B$7+$C81*$C$7)/100</f>
        <v>0</v>
      </c>
      <c r="G81" s="216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7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8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1"/>
      <c r="M81" s="221"/>
      <c r="N81" s="221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20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9"/>
      <c r="AA81" s="210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20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9"/>
      <c r="AA82" s="210"/>
      <c r="BB82" s="8" t="str">
        <f aca="false">IF(A82="","",1)</f>
        <v/>
      </c>
    </row>
    <row r="83" customFormat="false" ht="13.8" hidden="true" customHeight="false" outlineLevel="0" collapsed="false">
      <c r="A83" s="239" t="s">
        <v>104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Allier</v>
      </c>
      <c r="B84" s="244" t="str">
        <f aca="false">C3</f>
        <v>Allier à Saint Christophe d'Allier</v>
      </c>
      <c r="C84" s="245" t="n">
        <f aca="false">A4</f>
        <v>40772</v>
      </c>
      <c r="D84" s="246" t="n">
        <f aca="false">IF(ISERROR(SUM($S$23:$S$82)/SUM($T$23:$T$82)),"",SUM($S$23:$S$82)/SUM($T$23:$T$82))</f>
        <v>10.56</v>
      </c>
      <c r="E84" s="247" t="n">
        <f aca="false">N13</f>
        <v>26</v>
      </c>
      <c r="F84" s="244" t="n">
        <f aca="false">N14</f>
        <v>16</v>
      </c>
      <c r="G84" s="244" t="n">
        <f aca="false">N15</f>
        <v>11</v>
      </c>
      <c r="H84" s="244" t="n">
        <f aca="false">N16</f>
        <v>4</v>
      </c>
      <c r="I84" s="244" t="n">
        <f aca="false">N17</f>
        <v>1</v>
      </c>
      <c r="J84" s="248" t="n">
        <f aca="false">N8</f>
        <v>10.0625</v>
      </c>
      <c r="K84" s="246" t="n">
        <f aca="false">N9</f>
        <v>2.61963737948595</v>
      </c>
      <c r="L84" s="247" t="n">
        <f aca="false">N10</f>
        <v>4</v>
      </c>
      <c r="M84" s="247" t="n">
        <f aca="false">N11</f>
        <v>15</v>
      </c>
      <c r="N84" s="246" t="n">
        <f aca="false">O8</f>
        <v>1.375</v>
      </c>
      <c r="O84" s="246" t="n">
        <f aca="false">O9</f>
        <v>0.61913918736689</v>
      </c>
      <c r="P84" s="247" t="n">
        <f aca="false">O10</f>
        <v>1</v>
      </c>
      <c r="Q84" s="247" t="n">
        <f aca="false">O11</f>
        <v>3</v>
      </c>
      <c r="R84" s="249" t="n">
        <f aca="false">F21</f>
        <v>3.55121</v>
      </c>
      <c r="S84" s="247" t="n">
        <f aca="false">K11</f>
        <v>0</v>
      </c>
      <c r="T84" s="247" t="n">
        <f aca="false">K12</f>
        <v>4</v>
      </c>
      <c r="U84" s="247" t="n">
        <f aca="false">K13</f>
        <v>2</v>
      </c>
      <c r="V84" s="250" t="n">
        <f aca="false">K14</f>
        <v>1</v>
      </c>
      <c r="W84" s="251" t="n">
        <f aca="false">K15</f>
        <v>18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105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106</v>
      </c>
      <c r="Q87" s="8"/>
      <c r="R87" s="206" t="n">
        <f aca="false">VLOOKUP(MAX($R$23:$R$82),($R$23:$T$82),1,0)</f>
        <v>36</v>
      </c>
      <c r="S87" s="8"/>
      <c r="T87" s="8"/>
      <c r="U87" s="8"/>
    </row>
    <row r="88" customFormat="false" ht="12.75" hidden="true" customHeight="false" outlineLevel="0" collapsed="false">
      <c r="P88" s="8" t="s">
        <v>107</v>
      </c>
      <c r="Q88" s="8"/>
      <c r="R88" s="206" t="n">
        <f aca="false">VLOOKUP((R87),($R$23:$T$82),2,0)</f>
        <v>36</v>
      </c>
      <c r="S88" s="8"/>
      <c r="T88" s="8"/>
      <c r="U88" s="8"/>
    </row>
    <row r="89" customFormat="false" ht="12.75" hidden="true" customHeight="false" outlineLevel="0" collapsed="false">
      <c r="P89" s="8" t="s">
        <v>108</v>
      </c>
      <c r="Q89" s="8"/>
      <c r="R89" s="206" t="n">
        <f aca="false">VLOOKUP((R87),($R$23:$T$82),3,0)</f>
        <v>3</v>
      </c>
      <c r="S89" s="8"/>
    </row>
    <row r="90" customFormat="false" ht="12.75" hidden="true" customHeight="false" outlineLevel="0" collapsed="false">
      <c r="P90" s="8" t="s">
        <v>109</v>
      </c>
      <c r="Q90" s="8"/>
      <c r="R90" s="253" t="n">
        <f aca="false">IF(ISERROR(SUM($S$23:$S$82)/SUM($T$23:$T$82)),"",(SUM($S$23:$S$82)-R88)/(SUM($T$23:$T$82)-R89))</f>
        <v>10.3636363636364</v>
      </c>
      <c r="S90" s="8"/>
    </row>
    <row r="91" customFormat="false" ht="12.75" hidden="true" customHeight="false" outlineLevel="0" collapsed="false">
      <c r="P91" s="205" t="s">
        <v>110</v>
      </c>
      <c r="Q91" s="205"/>
      <c r="R91" s="205" t="str">
        <f aca="false">INDEX('[1]liste reference'!$A$7:$A$906,$S$91)</f>
        <v>RANPEN</v>
      </c>
      <c r="S91" s="8" t="n">
        <f aca="false">IF(ISERROR(MATCH($R$93,'[1]liste reference'!$A$7:$A$906,0)),MATCH($R$93,'[1]liste reference'!$B$7:$B$906,0),(MATCH($R$93,'[1]liste reference'!$A$7:$A$906,0)))</f>
        <v>469</v>
      </c>
      <c r="T91" s="242"/>
    </row>
    <row r="92" customFormat="false" ht="12.75" hidden="true" customHeight="false" outlineLevel="0" collapsed="false">
      <c r="P92" s="8" t="s">
        <v>111</v>
      </c>
      <c r="Q92" s="8"/>
      <c r="R92" s="8" t="n">
        <f aca="false">MATCH(R87,$R$23:$R$82,0)</f>
        <v>8</v>
      </c>
      <c r="S92" s="8"/>
    </row>
    <row r="93" customFormat="false" ht="12.75" hidden="true" customHeight="false" outlineLevel="0" collapsed="false">
      <c r="P93" s="205" t="s">
        <v>112</v>
      </c>
      <c r="Q93" s="8"/>
      <c r="R93" s="205" t="str">
        <f aca="false">INDEX($A$23:$A$82,$R$92)</f>
        <v>RANPEN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2024-03-14T18:41:28Z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