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agnon" sheetId="1" state="visible" r:id="rId3"/>
  </sheets>
  <externalReferences>
    <externalReference r:id="rId4"/>
  </externalReferences>
  <definedNames>
    <definedName function="false" hidden="false" localSheetId="0" name="Excel_BuiltIn_Print_Area" vbProcedure="false">Alagnon!$A$1:$O$82</definedName>
    <definedName function="false" hidden="false" localSheetId="0" name="Excel_BuiltIn__FilterDatabase" vbProcedure="false">Alagnon!$A$23:$J$84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<sst xmlns="http://schemas.openxmlformats.org/spreadsheetml/2006/main" count="91" uniqueCount="87">
  <si>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</si>
  <si>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</si>
  <si>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</si>
  <si>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</si>
  <si>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</si>
  <si>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Alagnon</t>
  </si>
  <si>
    <t xml:space="preserve">Laveissière</t>
  </si>
  <si>
    <t xml:space="preserve">04028400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</si>
  <si>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</si>
  <si>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</si>
  <si>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</si>
  <si>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</si>
  <si>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</si>
  <si>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</si>
  <si>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</si>
  <si>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</si>
  <si>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</si>
  <si>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</si>
  <si>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</si>
  <si>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</si>
  <si>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</si>
  <si>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</si>
  <si>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</si>
  <si>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</si>
  <si>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</si>
  <si>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</si>
  <si>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</si>
  <si>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</si>
  <si>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</si>
  <si>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</si>
  <si>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</si>
  <si>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</si>
  <si>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</si>
  <si>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</si>
  <si>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</si>
  <si>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</si>
  <si>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</si>
  <si>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</si>
  <si>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</si>
  <si>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</si>
  <si>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</si>
  <si>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</si>
  <si>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</si>
  <si>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</si>
  <si>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</si>
  <si>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</si>
  <si>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</si>
  <si>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</si>
  <si>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</si>
  <si>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</si>
  <si>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</si>
  <si>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</si>
  <si>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</si>
  <si>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</si>
  <si>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</si>
  <si>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</si>
  <si>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</si>
  <si>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</si>
  <si>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</si>
  <si>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</si>
  <si>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</si>
  <si>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</si>
  <si>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</si>
  <si>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</si>
  <si>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</si>
  <si>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</si>
  <si>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</si>
  <si>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</si>
  <si>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</si>
  <si>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</si>
  <si>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</si>
  <si>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</si>
  <si>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</si>
  <si>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</si>
  <si>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OSC.SPX</t>
  </si>
  <si>
    <t xml:space="preserve">FON.ANT</t>
  </si>
  <si>
    <t xml:space="preserve">RHY.RIP</t>
  </si>
  <si>
    <t xml:space="preserve">AMB.FLU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</si>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</sst>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40409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12.1428571428571</v>
      </c>
      <c r="M5" s="51"/>
      <c r="N5" s="52" t="s">
        <v>15</v>
      </c>
      <c r="O5" s="53" t="n">
        <v>11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90</v>
      </c>
      <c r="C7" s="65" t="n">
        <v>10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11.8</v>
      </c>
      <c r="O8" s="82" t="n">
        <f aca="false">AVERAGE(J23:J82)</f>
        <v>1.4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1.92353840616713</v>
      </c>
      <c r="O9" s="82" t="n">
        <f aca="false">STDEV(J23:J82)</f>
        <v>0.547722557505166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10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0.09</v>
      </c>
      <c r="C12" s="117" t="n">
        <v>0.01</v>
      </c>
      <c r="D12" s="109"/>
      <c r="E12" s="109"/>
      <c r="F12" s="110" t="n">
        <f aca="false">($B12*$B$7+$C12*$C$7)/100</f>
        <v>0.082</v>
      </c>
      <c r="G12" s="118"/>
      <c r="H12" s="66"/>
      <c r="I12" s="119" t="s">
        <v>37</v>
      </c>
      <c r="J12" s="119"/>
      <c r="K12" s="113" t="n">
        <f aca="false">COUNTIF($G$23:$G$82,"=ALG")</f>
        <v>2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0.03</v>
      </c>
      <c r="C13" s="117" t="n">
        <v>0.01</v>
      </c>
      <c r="D13" s="109"/>
      <c r="E13" s="109"/>
      <c r="F13" s="110" t="n">
        <f aca="false">($B13*$B$7+$C13*$C$7)/100</f>
        <v>0.028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3</v>
      </c>
      <c r="L13" s="114"/>
      <c r="M13" s="124" t="s">
        <v>40</v>
      </c>
      <c r="N13" s="125" t="n">
        <f aca="false">COUNTIF(F23:F82,"&gt;0")</f>
        <v>5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5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</v>
      </c>
      <c r="C15" s="132" t="n">
        <v>0</v>
      </c>
      <c r="D15" s="109"/>
      <c r="E15" s="109"/>
      <c r="F15" s="110" t="n">
        <f aca="false">($B15*$B$7+$C15*$C$7)/100</f>
        <v>0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3" t="s">
        <v>46</v>
      </c>
      <c r="N15" s="134" t="n">
        <f aca="false">COUNTIF(J23:J82,"=1")</f>
        <v>3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 t="n">
        <f aca="false">($B16*$B$7+$C16*$C$7)/100</f>
        <v>0</v>
      </c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2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0.12</v>
      </c>
      <c r="C17" s="117" t="n">
        <v>0.02</v>
      </c>
      <c r="D17" s="109"/>
      <c r="E17" s="109"/>
      <c r="F17" s="139" t="n">
        <f aca="false">($B17*$B$7+$C17*$C$7)/100</f>
        <v>0.11</v>
      </c>
      <c r="G17" s="110" t="n">
        <f aca="false">($B17*$B$7+$C17*$C$7)/100</f>
        <v>0.11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</v>
      </c>
      <c r="C18" s="142" t="n">
        <v>0</v>
      </c>
      <c r="D18" s="109"/>
      <c r="E18" s="143" t="s">
        <v>52</v>
      </c>
      <c r="F18" s="139" t="n">
        <f aca="false">($B18*$B$7+$C18*$C$7)/100</f>
        <v>0</v>
      </c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0.11</v>
      </c>
      <c r="G19" s="151" t="n">
        <f aca="false">SUM(G16:G18)</f>
        <v>0.11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0.12</v>
      </c>
      <c r="C20" s="160" t="n">
        <f aca="false">SUM(C23:C82)</f>
        <v>0.02</v>
      </c>
      <c r="D20" s="161"/>
      <c r="E20" s="162" t="s">
        <v>52</v>
      </c>
      <c r="F20" s="163" t="n">
        <f aca="false">($B20*$B$7+$C20*$C$7)/100</f>
        <v>0.11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0.108</v>
      </c>
      <c r="C21" s="172" t="n">
        <f aca="false">C20*C7/100</f>
        <v>0.002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0.11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0.08</v>
      </c>
      <c r="C23" s="196" t="n">
        <v>0.01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Oscillatoria sp.       </v>
      </c>
      <c r="E23" s="197" t="e">
        <f aca="false">IF(D23="",0,VLOOKUP(D23,D$22:D22,1,0))</f>
        <v>#N/A</v>
      </c>
      <c r="F23" s="198" t="n">
        <f aca="false">($B23*$B$7+$C23*$C$7)/100</f>
        <v>0.073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11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Oscillatoria sp.       </v>
      </c>
      <c r="L23" s="204"/>
      <c r="M23" s="204"/>
      <c r="N23" s="204"/>
      <c r="O23" s="205"/>
      <c r="P23" s="206" t="n">
        <f aca="false">IF(ISTEXT(H23),"",(B23*$B$7/100)+(C23*$C$7/100))</f>
        <v>0.073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11</v>
      </c>
      <c r="S23" s="207" t="n">
        <f aca="false">IF(ISERROR(Q23*I23*J23),0,Q23*I23*J23)</f>
        <v>11</v>
      </c>
      <c r="T23" s="207" t="n">
        <f aca="false">IF(ISERROR(Q23*J23),0,Q23*J23)</f>
        <v>1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OSC.SPX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57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15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Lemanea gr. fluviatilis</v>
      </c>
      <c r="E24" s="215" t="e">
        <f aca="false">IF(D24="",0,VLOOKUP(D24,D$22:D23,1,0))</f>
        <v>#N/A</v>
      </c>
      <c r="F24" s="216" t="n">
        <f aca="false">($B24*$B$7+$C24*$C$7)/100</f>
        <v>0.009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Lemanea gr. fluviatilis</v>
      </c>
      <c r="L24" s="220"/>
      <c r="M24" s="220"/>
      <c r="N24" s="220"/>
      <c r="O24" s="205"/>
      <c r="P24" s="206" t="n">
        <f aca="false">IF(ISTEXT(H24),"",(B24*$B$7/100)+(C24*$C$7/100))</f>
        <v>0.009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15</v>
      </c>
      <c r="S24" s="207" t="n">
        <f aca="false">IF(ISERROR(Q24*I24*J24),0,Q24*I24*J24)</f>
        <v>30</v>
      </c>
      <c r="T24" s="221" t="n">
        <f aca="false">IF(ISERROR(Q24*J24),0,Q24*J24)</f>
        <v>2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LEA.SPX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35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75</v>
      </c>
      <c r="B25" s="213" t="n">
        <v>0.01</v>
      </c>
      <c r="C25" s="214" t="n">
        <v>0.01</v>
      </c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Fontinalis antipyretica</v>
      </c>
      <c r="E25" s="215" t="e">
        <f aca="false">IF(D25="",0,VLOOKUP(D25,D$22:D24,1,0))</f>
        <v>#N/A</v>
      </c>
      <c r="F25" s="216" t="n">
        <f aca="false">($B25*$B$7+$C25*$C$7)/100</f>
        <v>0.01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Fontinalis antipyretica</v>
      </c>
      <c r="L25" s="220"/>
      <c r="M25" s="220"/>
      <c r="N25" s="220"/>
      <c r="O25" s="205"/>
      <c r="P25" s="206" t="n">
        <f aca="false">IF(ISTEXT(H25),"",(B25*$B$7/100)+(C25*$C$7/100))</f>
        <v>0.01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10</v>
      </c>
      <c r="S25" s="207" t="n">
        <f aca="false">IF(ISERROR(Q25*I25*J25),0,Q25*I25*J25)</f>
        <v>10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FON.ANT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211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76</v>
      </c>
      <c r="B26" s="213" t="n">
        <v>0.01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Rhynchostegium riparioides (Platyhypnidium rusciforme)</v>
      </c>
      <c r="E26" s="215" t="e">
        <f aca="false">IF(D26="",0,VLOOKUP(D26,D$22:D25,1,0))</f>
        <v>#N/A</v>
      </c>
      <c r="F26" s="216" t="n">
        <f aca="false">($B26*$B$7+$C26*$C$7)/100</f>
        <v>0.009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12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Rhynchostegium riparioides (Platyhypnidium rusciforme)</v>
      </c>
      <c r="L26" s="220"/>
      <c r="M26" s="220"/>
      <c r="N26" s="220"/>
      <c r="O26" s="205"/>
      <c r="P26" s="206" t="n">
        <f aca="false">IF(ISTEXT(H26),"",(B26*$B$7/100)+(C26*$C$7/100))</f>
        <v>0.009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12</v>
      </c>
      <c r="S26" s="207" t="n">
        <f aca="false">IF(ISERROR(Q26*I26*J26),0,Q26*I26*J26)</f>
        <v>12</v>
      </c>
      <c r="T26" s="221" t="n">
        <f aca="false">IF(ISERROR(Q26*J26),0,Q26*J26)</f>
        <v>1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RHY.RIP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253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Amblystegium fluviatile (Hygroamblystegium fluviatile)</v>
      </c>
      <c r="E27" s="215" t="e">
        <f aca="false">IF(D27="",0,VLOOKUP(D27,D$22:D26,1,0))</f>
        <v>#N/A</v>
      </c>
      <c r="F27" s="216" t="n">
        <f aca="false">($B27*$B$7+$C27*$C$7)/100</f>
        <v>0.009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11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Amblystegium fluviatile (Hygroamblystegium fluviatile)</v>
      </c>
      <c r="L27" s="220"/>
      <c r="M27" s="220"/>
      <c r="N27" s="220"/>
      <c r="O27" s="205"/>
      <c r="P27" s="206" t="n">
        <f aca="false">IF(ISTEXT(H27),"",(B27*$B$7/100)+(C27*$C$7/100))</f>
        <v>0.009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11</v>
      </c>
      <c r="S27" s="207" t="n">
        <f aca="false">IF(ISERROR(Q27*I27*J27),0,Q27*I27*J27)</f>
        <v>22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AMB.FLU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148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/>
      <c r="B28" s="213"/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/>
      </c>
      <c r="E28" s="215" t="n">
        <f aca="false">IF(D28="",0,VLOOKUP(D28,D$22:D27,1,0))</f>
        <v>0</v>
      </c>
      <c r="F28" s="216" t="n">
        <f aca="false">($B28*$B$7+$C28*$C$7)/100</f>
        <v>0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/>
      </c>
      <c r="H28" s="200" t="str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x</v>
      </c>
      <c r="I28" s="218" t="str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/>
      </c>
      <c r="J28" s="202" t="str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/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/>
      </c>
      <c r="L28" s="220"/>
      <c r="M28" s="220"/>
      <c r="N28" s="220"/>
      <c r="O28" s="205"/>
      <c r="P28" s="206" t="str">
        <f aca="false">IF(ISTEXT(H28),"",(B28*$B$7/100)+(C28*$C$7/100))</f>
        <v/>
      </c>
      <c r="Q28" s="207" t="str">
        <f aca="false">IF(OR(ISTEXT(H28),P28=0),"",IF(P28&lt;0.1,1,IF(P28&lt;1,2,IF(P28&lt;10,3,IF(P28&lt;50,4,IF(P28&gt;=50,5,""))))))</f>
        <v/>
      </c>
      <c r="R28" s="207" t="n">
        <f aca="false">IF(ISERROR(Q28*I28),0,Q28*I28)</f>
        <v>0</v>
      </c>
      <c r="S28" s="207" t="n">
        <f aca="false">IF(ISERROR(Q28*I28*J28),0,Q28*I28*J28)</f>
        <v>0</v>
      </c>
      <c r="T28" s="221" t="n">
        <f aca="false">IF(ISERROR(Q28*J28),0,Q28*J28)</f>
        <v>0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/>
      </c>
      <c r="Y28" s="8" t="str">
        <f aca="false">IF(ISERROR(MATCH(A28,'[1]liste reference'!$A$7:$A$906,0)),IF(ISERROR(MATCH(A28,'[1]liste reference'!$B$7:$B$906,0)),"",(MATCH(A28,'[1]liste reference'!$B$7:$B$906,0))),(MATCH(A28,'[1]liste reference'!$A$7:$A$906,0)))</f>
        <v/>
      </c>
      <c r="Z28" s="210"/>
      <c r="AA28" s="211"/>
      <c r="BB28" s="8" t="str">
        <f aca="false">IF(A28="","",1)</f>
        <v/>
      </c>
    </row>
    <row r="29" customFormat="false" ht="12.75" hidden="false" customHeight="false" outlineLevel="0" collapsed="false">
      <c r="A29" s="212"/>
      <c r="B29" s="213"/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5" t="n">
        <f aca="false">IF(D29="",0,VLOOKUP(D29,D$22:D28,1,0))</f>
        <v>0</v>
      </c>
      <c r="F29" s="216" t="n">
        <f aca="false">($B29*$B$7+$C29*$C$7)/100</f>
        <v>0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200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20"/>
      <c r="M29" s="220"/>
      <c r="N29" s="220"/>
      <c r="O29" s="205"/>
      <c r="P29" s="206" t="str">
        <f aca="false">IF(ISTEXT(H29),"",(B29*$B$7/100)+(C29*$C$7/100))</f>
        <v/>
      </c>
      <c r="Q29" s="207" t="str">
        <f aca="false">IF(OR(ISTEXT(H29),P29=0),"",IF(P29&lt;0.1,1,IF(P29&lt;1,2,IF(P29&lt;10,3,IF(P29&lt;50,4,IF(P29&gt;=50,5,""))))))</f>
        <v/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10"/>
      <c r="AA29" s="211"/>
      <c r="BB29" s="8" t="str">
        <f aca="false">IF(A29="","",1)</f>
        <v/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78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Alagnon</v>
      </c>
      <c r="B84" s="246" t="str">
        <f aca="false">C3</f>
        <v>Laveissière</v>
      </c>
      <c r="C84" s="247" t="n">
        <f aca="false">A4</f>
        <v>40409</v>
      </c>
      <c r="D84" s="248" t="n">
        <f aca="false">IF(ISERROR(SUM($S$23:$S$82)/SUM($T$23:$T$82)),"",SUM($S$23:$S$82)/SUM($T$23:$T$82))</f>
        <v>12.1428571428571</v>
      </c>
      <c r="E84" s="249" t="n">
        <f aca="false">N13</f>
        <v>5</v>
      </c>
      <c r="F84" s="246" t="n">
        <f aca="false">N14</f>
        <v>5</v>
      </c>
      <c r="G84" s="246" t="n">
        <f aca="false">N15</f>
        <v>3</v>
      </c>
      <c r="H84" s="246" t="n">
        <f aca="false">N16</f>
        <v>2</v>
      </c>
      <c r="I84" s="246" t="n">
        <f aca="false">N17</f>
        <v>0</v>
      </c>
      <c r="J84" s="250" t="n">
        <f aca="false">N8</f>
        <v>11.8</v>
      </c>
      <c r="K84" s="248" t="n">
        <f aca="false">N9</f>
        <v>1.92353840616713</v>
      </c>
      <c r="L84" s="249" t="n">
        <f aca="false">N10</f>
        <v>10</v>
      </c>
      <c r="M84" s="249" t="n">
        <f aca="false">N11</f>
        <v>15</v>
      </c>
      <c r="N84" s="248" t="n">
        <f aca="false">O8</f>
        <v>1.4</v>
      </c>
      <c r="O84" s="248" t="n">
        <f aca="false">O9</f>
        <v>0.547722557505166</v>
      </c>
      <c r="P84" s="249" t="n">
        <f aca="false">O10</f>
        <v>1</v>
      </c>
      <c r="Q84" s="249" t="n">
        <f aca="false">O11</f>
        <v>2</v>
      </c>
      <c r="R84" s="251" t="n">
        <f aca="false">F21</f>
        <v>0.11</v>
      </c>
      <c r="S84" s="249" t="n">
        <f aca="false">K11</f>
        <v>0</v>
      </c>
      <c r="T84" s="249" t="n">
        <f aca="false">K12</f>
        <v>2</v>
      </c>
      <c r="U84" s="249" t="n">
        <f aca="false">K13</f>
        <v>3</v>
      </c>
      <c r="V84" s="252" t="n">
        <f aca="false">K14</f>
        <v>0</v>
      </c>
      <c r="W84" s="253" t="n">
        <f aca="false">K15</f>
        <v>0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79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80</v>
      </c>
      <c r="Q87" s="8"/>
      <c r="R87" s="208" t="n">
        <f aca="false">VLOOKUP(MAX($R$23:$R$82),($R$23:$T$82),1,0)</f>
        <v>15</v>
      </c>
      <c r="S87" s="8"/>
      <c r="T87" s="8"/>
      <c r="U87" s="8"/>
    </row>
    <row r="88" customFormat="false" ht="12.75" hidden="true" customHeight="false" outlineLevel="0" collapsed="false">
      <c r="P88" s="8" t="s">
        <v>81</v>
      </c>
      <c r="Q88" s="8"/>
      <c r="R88" s="208" t="n">
        <f aca="false">VLOOKUP((R87),($R$23:$T$82),2,0)</f>
        <v>30</v>
      </c>
      <c r="S88" s="8"/>
      <c r="T88" s="8"/>
      <c r="U88" s="8"/>
    </row>
    <row r="89" customFormat="false" ht="12.75" hidden="true" customHeight="false" outlineLevel="0" collapsed="false">
      <c r="P89" s="8" t="s">
        <v>82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83</v>
      </c>
      <c r="Q90" s="8"/>
      <c r="R90" s="255" t="n">
        <f aca="false">IF(ISERROR(SUM($S$23:$S$82)/SUM($T$23:$T$82)),"",(SUM($S$23:$S$82)-R88)/(SUM($T$23:$T$82)-R89))</f>
        <v>11</v>
      </c>
      <c r="S90" s="8"/>
    </row>
    <row r="91" customFormat="false" ht="12.75" hidden="true" customHeight="false" outlineLevel="0" collapsed="false">
      <c r="P91" s="207" t="s">
        <v>84</v>
      </c>
      <c r="Q91" s="207"/>
      <c r="R91" s="207" t="str">
        <f aca="false">INDEX('[1]liste reference'!$A$7:$A$906,$S$91)</f>
        <v>LEA.SPX</v>
      </c>
      <c r="S91" s="8" t="n">
        <f aca="false">IF(ISERROR(MATCH($R$93,'[1]liste reference'!$A$7:$A$906,0)),MATCH($R$93,'[1]liste reference'!$B$7:$B$906,0),(MATCH($R$93,'[1]liste reference'!$A$7:$A$906,0)))</f>
        <v>35</v>
      </c>
      <c r="T91" s="244"/>
    </row>
    <row r="92" customFormat="false" ht="12.75" hidden="true" customHeight="false" outlineLevel="0" collapsed="false">
      <c r="P92" s="8" t="s">
        <v>85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7" t="s">
        <v>86</v>
      </c>
      <c r="Q93" s="8"/>
      <c r="R93" s="207" t="str">
        <f aca="false">INDEX($A$23:$A$82,$R$92)</f>
        <v>LEA.SPX</v>
      </c>
      <c r="S93" s="8"/>
    </row>
    <row r="94" customFormat="false" ht="12.75" hidden="false" customHeight="false" outlineLevel="0" collapsed="false">
      <c r="R94" s="24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2024-03-13T19:01:58Z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