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9625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'04029625'!$A$1:$O$82</definedName>
    <definedName function="false" hidden="false" localSheetId="0" name="Excel_BuiltIn__FilterDatabase" vbProcedure="false">'04029625'!$A$23:$J$84</definedName>
    <definedName function="false" hidden="false" localSheetId="0" name="NOM" vbProcedure="false">'04029625'!$H$1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<sst xmlns="http://schemas.openxmlformats.org/spreadsheetml/2006/main" count="101" uniqueCount="97">
  <si>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</si>
  <si>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</si>
  <si>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</si>
  <si>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Laetitia BLANCHARD, Rémy MARCEL</t>
  </si>
  <si>
    <t xml:space="preserve">conforme AFNOR T90-395 oct. 2003</t>
  </si>
  <si>
    <t xml:space="preserve">l'Eau Mère</t>
  </si>
  <si>
    <t xml:space="preserve">EAU MERE à CONDAT-LES-MONTBOISSIER</t>
  </si>
  <si>
    <t xml:space="preserve">04029625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</si>
  <si>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</si>
  <si>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</si>
  <si>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</si>
  <si>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</si>
  <si>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</si>
  <si>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</si>
  <si>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</si>
  <si>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</si>
  <si>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</si>
  <si>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</si>
  <si>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radier</t>
  </si>
  <si>
    <t xml:space="preserve">pl. courant</t>
  </si>
  <si>
    <t xml:space="preserve">niv. trophique:</t>
  </si>
  <si>
    <t xml:space="preserve">très 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</si>
  <si>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</si>
  <si>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</si>
  <si>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</si>
  <si>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</si>
  <si>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</si>
  <si>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</si>
  <si>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</si>
  <si>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</si>
  <si>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</si>
  <si>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</si>
  <si>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</si>
  <si>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</si>
  <si>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</si>
  <si>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</si>
  <si>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</si>
  <si>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</si>
  <si>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</si>
  <si>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</si>
  <si>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</si>
  <si>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</si>
  <si>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</si>
  <si>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</si>
  <si>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</si>
  <si>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</si>
  <si>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</si>
  <si>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</si>
  <si>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</si>
  <si>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</si>
  <si>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</si>
  <si>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</si>
  <si>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</si>
  <si>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</si>
  <si>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</si>
  <si>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</si>
  <si>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</si>
  <si>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</si>
  <si>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</si>
  <si>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(16,9780002504587 %)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</si>
  <si>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</si>
  <si>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</si>
  <si>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</si>
  <si>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</si>
  <si>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</si>
  <si>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</si>
  <si>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</si>
  <si>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</si>
  <si>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</si>
  <si>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</si>
  <si>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</si>
  <si>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</si>
  <si>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</si>
  <si>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</si>
  <si>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</si>
  <si>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</si>
  <si>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</si>
  <si>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</si>
  <si>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</si>
  <si>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FISCRA</t>
  </si>
  <si>
    <t xml:space="preserve">BRARIV</t>
  </si>
  <si>
    <t xml:space="preserve">CHIPOL</t>
  </si>
  <si>
    <t xml:space="preserve">LEASPX</t>
  </si>
  <si>
    <t xml:space="preserve">DERWEB</t>
  </si>
  <si>
    <t xml:space="preserve">SCAUND</t>
  </si>
  <si>
    <t xml:space="preserve">newcod</t>
  </si>
  <si>
    <t xml:space="preserve">Luzula pilosa</t>
  </si>
  <si>
    <t xml:space="preserve">PLIUND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</si>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</sst>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41809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14.625</v>
      </c>
      <c r="M5" s="52"/>
      <c r="N5" s="53" t="s">
        <v>16</v>
      </c>
      <c r="O5" s="54" t="n">
        <v>15.15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68</v>
      </c>
      <c r="C7" s="66" t="n">
        <v>32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25</v>
      </c>
      <c r="C9" s="86" t="n">
        <v>4</v>
      </c>
      <c r="D9" s="87"/>
      <c r="E9" s="87"/>
      <c r="F9" s="88" t="n">
        <f aca="false">($B9*$B$7+$C9*$C$7)/100</f>
        <v>18.28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9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23.250000372529</v>
      </c>
      <c r="C20" s="165" t="n">
        <f aca="false">SUM(C23:C82)</f>
        <v>3.6499999910593</v>
      </c>
      <c r="D20" s="166"/>
      <c r="E20" s="167" t="s">
        <v>53</v>
      </c>
      <c r="F20" s="168" t="n">
        <f aca="false">($B20*$B$7+$C20*$C$7)/100</f>
        <v>16.9780002504587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15.8100002533197</v>
      </c>
      <c r="C21" s="178" t="n">
        <f aca="false">C20*C7/100</f>
        <v>1.16799999713898</v>
      </c>
      <c r="D21" s="110" t="str">
        <f aca="false">IF(F21=0,"",IF((ABS(F21-F19))&gt;(0.2*F21),CONCATENATE(" rec. par taxa (",F21," %) supérieur à 20 % !"),""))</f>
        <v> rec. par taxa (16,9780002504587 %)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16.9780002504587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0.00999999977648258</v>
      </c>
      <c r="C23" s="204" t="n">
        <v>0.00999999977648258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0.00999999977648258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FISCRA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16</v>
      </c>
      <c r="B24" s="221" t="n">
        <v>20.1000003814697</v>
      </c>
      <c r="C24" s="222" t="n">
        <v>3.00999999046326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14.6312002563477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RHYRIP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80</v>
      </c>
      <c r="B25" s="221" t="n">
        <v>2.00999999046326</v>
      </c>
      <c r="C25" s="222" t="n">
        <v>0.100000001490116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1.39879999399185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BRARIV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81</v>
      </c>
      <c r="B26" s="221" t="n">
        <v>1</v>
      </c>
      <c r="C26" s="222" t="n">
        <v>0.5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0.84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X26" s="217"/>
      <c r="Y26" s="215" t="str">
        <f aca="false">IF(A26="new.cod","NEWCOD",IF(AND((Z26=""),ISTEXT(A26)),A26,IF(Z26="","",INDEX(,Z26))))</f>
        <v>CHIPOL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82</v>
      </c>
      <c r="B27" s="221" t="n">
        <v>0.00999999977648258</v>
      </c>
      <c r="C27" s="222" t="n">
        <v>0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0.00679999984800816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17"/>
      <c r="Y27" s="215" t="str">
        <f aca="false">IF(A27="new.cod","NEWCOD",IF(AND((Z27=""),ISTEXT(A27)),A27,IF(Z27="","",INDEX(,Z27))))</f>
        <v>LEASPX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83</v>
      </c>
      <c r="B28" s="221" t="n">
        <v>0.00999999977648258</v>
      </c>
      <c r="C28" s="222" t="n">
        <v>0.00999999977648258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0.00999999977648258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DERWEB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84</v>
      </c>
      <c r="B29" s="221" t="n">
        <v>0.100000001490116</v>
      </c>
      <c r="C29" s="222" t="n">
        <v>0.00999999977648258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0.0712000009417534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Y29" s="215" t="str">
        <f aca="false">IF(A29="new.cod","NEWCOD",IF(AND((Z29=""),ISTEXT(A29)),A29,IF(Z29="","",INDEX(,Z29))))</f>
        <v>SCAUND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85</v>
      </c>
      <c r="B30" s="221" t="n">
        <v>0</v>
      </c>
      <c r="C30" s="222" t="n">
        <v>0.00999999977648258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0.00319999992847443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>No</v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newcod</v>
      </c>
      <c r="Z30" s="9" t="str">
        <f aca="false">IF(ISERROR(MATCH(A30,,0)),IF(ISERROR(MATCH(A30,,0)),"",(MATCH(A30,,0))),(MATCH(A30,,0)))</f>
        <v/>
      </c>
      <c r="AA30" s="218"/>
      <c r="AB30" s="219" t="s">
        <v>86</v>
      </c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87</v>
      </c>
      <c r="B31" s="221" t="n">
        <v>0.00999999977648258</v>
      </c>
      <c r="C31" s="222" t="n">
        <v>0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0.00679999984800816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27"/>
      <c r="Y31" s="215" t="str">
        <f aca="false">IF(A31="new.cod","NEWCOD",IF(AND((Z31=""),ISTEXT(A31)),A31,IF(Z31="","",INDEX(,Z31))))</f>
        <v>PLIUND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/>
      <c r="B32" s="221"/>
      <c r="C32" s="222"/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</v>
      </c>
      <c r="G32" s="208" t="str">
        <f aca="false">IF(A32="","",IF(ISERROR(VLOOKUP($A32,,13,0)),IF(ISERROR(VLOOKUP($A32,,12,0)),"    -",VLOOKUP($A32,,12,0)),VLOOKUP($A32,,13,0)))</f>
        <v/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/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/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str">
        <f aca="false">IF(A32="","",1)</f>
        <v/>
      </c>
    </row>
    <row r="33" customFormat="false" ht="12.75" hidden="false" customHeight="false" outlineLevel="0" collapsed="false">
      <c r="A33" s="220"/>
      <c r="B33" s="221"/>
      <c r="C33" s="222"/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</v>
      </c>
      <c r="G33" s="208" t="str">
        <f aca="false">IF(A33="","",IF(ISERROR(VLOOKUP($A33,,13,0)),IF(ISERROR(VLOOKUP($A33,,12,0)),"    -",VLOOKUP($A33,,12,0)),VLOOKUP($A33,,13,0)))</f>
        <v/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/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/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str">
        <f aca="false">IF(A33="","",1)</f>
        <v/>
      </c>
    </row>
    <row r="34" customFormat="false" ht="12.75" hidden="false" customHeight="false" outlineLevel="0" collapsed="false">
      <c r="A34" s="220"/>
      <c r="B34" s="221"/>
      <c r="C34" s="222"/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</v>
      </c>
      <c r="G34" s="208" t="str">
        <f aca="false">IF(A34="","",IF(ISERROR(VLOOKUP($A34,,13,0)),IF(ISERROR(VLOOKUP($A34,,12,0)),"    -",VLOOKUP($A34,,12,0)),VLOOKUP($A34,,13,0)))</f>
        <v/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/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/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str">
        <f aca="false">IF(A34="","",1)</f>
        <v/>
      </c>
    </row>
    <row r="35" customFormat="false" ht="12.75" hidden="false" customHeight="false" outlineLevel="0" collapsed="false">
      <c r="A35" s="220"/>
      <c r="B35" s="221"/>
      <c r="C35" s="222"/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</v>
      </c>
      <c r="G35" s="208" t="str">
        <f aca="false">IF(A35="","",IF(ISERROR(VLOOKUP($A35,,13,0)),IF(ISERROR(VLOOKUP($A35,,12,0)),"    -",VLOOKUP($A35,,12,0)),VLOOKUP($A35,,13,0)))</f>
        <v/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/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/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str">
        <f aca="false">IF(A35="","",1)</f>
        <v/>
      </c>
    </row>
    <row r="36" customFormat="false" ht="12.75" hidden="false" customHeight="false" outlineLevel="0" collapsed="false">
      <c r="A36" s="220"/>
      <c r="B36" s="221"/>
      <c r="C36" s="222"/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</v>
      </c>
      <c r="G36" s="208" t="str">
        <f aca="false">IF(A36="","",IF(ISERROR(VLOOKUP($A36,,13,0)),IF(ISERROR(VLOOKUP($A36,,12,0)),"    -",VLOOKUP($A36,,12,0)),VLOOKUP($A36,,13,0)))</f>
        <v/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/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/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</v>
      </c>
      <c r="G37" s="208" t="str">
        <f aca="false">IF(A37="","",IF(ISERROR(VLOOKUP($A37,,13,0)),IF(ISERROR(VLOOKUP($A37,,12,0)),"    -",VLOOKUP($A37,,12,0)),VLOOKUP($A37,,13,0)))</f>
        <v/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</v>
      </c>
      <c r="G38" s="208" t="str">
        <f aca="false">IF(A38="","",IF(ISERROR(VLOOKUP($A38,,13,0)),IF(ISERROR(VLOOKUP($A38,,12,0)),"    -",VLOOKUP($A38,,12,0)),VLOOKUP($A38,,13,0)))</f>
        <v/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8" t="str">
        <f aca="false">IF(A39="","",IF(ISERROR(VLOOKUP($A39,,13,0)),IF(ISERROR(VLOOKUP($A39,,12,0)),"    -",VLOOKUP($A39,,12,0)),VLOOKUP($A39,,13,0)))</f>
        <v/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88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l'Eau Mère</v>
      </c>
      <c r="B84" s="256" t="str">
        <f aca="false">C3</f>
        <v>EAU MERE à CONDAT-LES-MONTBOISSIER</v>
      </c>
      <c r="C84" s="257" t="n">
        <f aca="false">A4</f>
        <v>41809</v>
      </c>
      <c r="D84" s="258" t="str">
        <f aca="false">IF(ISERROR(SUM($T$23:$T$82)/SUM($U$23:$U$82)),"",SUM($T$23:$T$82)/SUM($U$23:$U$82))</f>
        <v/>
      </c>
      <c r="E84" s="259" t="n">
        <f aca="false">N13</f>
        <v>9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16.9780002504587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89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90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91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92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93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94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95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96</v>
      </c>
      <c r="R93" s="9"/>
      <c r="S93" s="215" t="str">
        <f aca="false">INDEX($A$23:$A$82,$S$92)</f>
        <v>FISCRA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2024-04-16T07:12:37Z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