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-Cournon" sheetId="1" state="visible" r:id="rId3"/>
  </sheets>
  <externalReferences>
    <externalReference r:id="rId4"/>
  </externalReferences>
  <definedNames>
    <definedName function="false" hidden="false" localSheetId="0" name="Excel_BuiltIn_Print_Area" vbProcedure="false">'Allier-Cournon'!$A$1:$O$82</definedName>
    <definedName function="false" hidden="false" localSheetId="0" name="Excel_BuiltIn__FilterDatabase" vbProcedure="false">'Allier-Cournon'!$A$23:$J$84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<sst xmlns="http://schemas.openxmlformats.org/spreadsheetml/2006/main" count="98" uniqueCount="94">
  <si>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</si>
  <si>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</si>
  <si>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</si>
  <si>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</si>
  <si>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</si>
  <si>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Allier</t>
  </si>
  <si>
    <t xml:space="preserve">Cournon d'Auvergne</t>
  </si>
  <si>
    <t xml:space="preserve">04031000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</si>
  <si>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</si>
  <si>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</si>
  <si>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</si>
  <si>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</si>
  <si>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</si>
  <si>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</si>
  <si>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</si>
  <si>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</si>
  <si>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</si>
  <si>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pl. courant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</si>
  <si>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</si>
  <si>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</si>
  <si>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</si>
  <si>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</si>
  <si>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</si>
  <si>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</si>
  <si>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</si>
  <si>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</si>
  <si>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</si>
  <si>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</si>
  <si>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</si>
  <si>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</si>
  <si>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</si>
  <si>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</si>
  <si>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</si>
  <si>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</si>
  <si>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</si>
  <si>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</si>
  <si>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</si>
  <si>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</si>
  <si>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</si>
  <si>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</si>
  <si>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</si>
  <si>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</si>
  <si>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</si>
  <si>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</si>
  <si>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</si>
  <si>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</si>
  <si>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</si>
  <si>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</si>
  <si>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</si>
  <si>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</si>
  <si>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</si>
  <si>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</si>
  <si>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</si>
  <si>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</si>
  <si>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</si>
  <si>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</si>
  <si>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</si>
  <si>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</si>
  <si>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</si>
  <si>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</si>
  <si>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</si>
  <si>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</si>
  <si>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</si>
  <si>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</si>
  <si>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</si>
  <si>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</si>
  <si>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</si>
  <si>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</si>
  <si>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</si>
  <si>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</si>
  <si>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</si>
  <si>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</si>
  <si>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</si>
  <si>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SPI.SPX</t>
  </si>
  <si>
    <t xml:space="preserve">CLA.SPX</t>
  </si>
  <si>
    <t xml:space="preserve">OED.SPX</t>
  </si>
  <si>
    <t xml:space="preserve">MEL.SPX</t>
  </si>
  <si>
    <t xml:space="preserve">LEA.SPX</t>
  </si>
  <si>
    <t xml:space="preserve">OSC.SPX</t>
  </si>
  <si>
    <t xml:space="preserve">AMB.RIP</t>
  </si>
  <si>
    <t xml:space="preserve">FON.ANT</t>
  </si>
  <si>
    <t xml:space="preserve">RAN.TRI</t>
  </si>
  <si>
    <t xml:space="preserve">MYR.SPI</t>
  </si>
  <si>
    <t xml:space="preserve">ROR.AMP</t>
  </si>
  <si>
    <t xml:space="preserve">RAN.FLU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</si>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</sst>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10.2352941176471</v>
      </c>
      <c r="M5" s="51"/>
      <c r="N5" s="52" t="s">
        <v>15</v>
      </c>
      <c r="O5" s="53" t="n">
        <v>9.21428571428571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9.69230769230769</v>
      </c>
      <c r="O8" s="82" t="n">
        <f aca="false">AVERAGE(J23:J82)</f>
        <v>1.53846153846154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3.06552375581007</v>
      </c>
      <c r="O9" s="82" t="n">
        <f aca="false">STDEV(J23:J82)</f>
        <v>0.518874521662771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5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9.02</v>
      </c>
      <c r="C12" s="117"/>
      <c r="D12" s="109"/>
      <c r="E12" s="109"/>
      <c r="F12" s="110" t="n">
        <f aca="false">($B12*$B$7+$C12*$C$7)/100</f>
        <v>9.02</v>
      </c>
      <c r="G12" s="118"/>
      <c r="H12" s="66"/>
      <c r="I12" s="119" t="s">
        <v>36</v>
      </c>
      <c r="J12" s="119"/>
      <c r="K12" s="113" t="n">
        <f aca="false">COUNTIF($G$23:$G$82,"=ALG")</f>
        <v>7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0.02</v>
      </c>
      <c r="C13" s="117"/>
      <c r="D13" s="109"/>
      <c r="E13" s="109"/>
      <c r="F13" s="110" t="n">
        <f aca="false">($B13*$B$7+$C13*$C$7)/100</f>
        <v>0.02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2</v>
      </c>
      <c r="L13" s="114"/>
      <c r="M13" s="124" t="s">
        <v>39</v>
      </c>
      <c r="N13" s="125" t="n">
        <f aca="false">COUNTIF(F23:F82,"&gt;0")</f>
        <v>13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13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2.3</v>
      </c>
      <c r="C15" s="132"/>
      <c r="D15" s="109"/>
      <c r="E15" s="109"/>
      <c r="F15" s="110" t="n">
        <f aca="false">($B15*$B$7+$C15*$C$7)/100</f>
        <v>2.3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4</v>
      </c>
      <c r="L15" s="114"/>
      <c r="M15" s="133" t="s">
        <v>45</v>
      </c>
      <c r="N15" s="134" t="n">
        <f aca="false">COUNTIF(J23:J82,"=1")</f>
        <v>6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</v>
      </c>
      <c r="C16" s="108"/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7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11.33</v>
      </c>
      <c r="C17" s="117"/>
      <c r="D17" s="109"/>
      <c r="E17" s="109"/>
      <c r="F17" s="139"/>
      <c r="G17" s="110" t="n">
        <f aca="false">($B17*$B$7+$C17*$C$7)/100</f>
        <v>11.33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0.01</v>
      </c>
      <c r="C18" s="142"/>
      <c r="D18" s="109"/>
      <c r="E18" s="143" t="s">
        <v>51</v>
      </c>
      <c r="F18" s="139"/>
      <c r="G18" s="110" t="n">
        <f aca="false">($B18*$B$7+$C18*$C$7)/100</f>
        <v>0.01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11.34</v>
      </c>
      <c r="G19" s="151" t="n">
        <f aca="false">SUM(G16:G18)</f>
        <v>11.34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11.34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11.34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11.34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11.34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 t="n">
        <v>1.5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Spirogyra sp.       </v>
      </c>
      <c r="E23" s="197" t="e">
        <f aca="false">IF(D23="",0,VLOOKUP(D23,D$22:D22,1,0))</f>
        <v>#N/A</v>
      </c>
      <c r="F23" s="198" t="n">
        <f aca="false">($B23*$B$7+$C23*$C$7)/100</f>
        <v>1.5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10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Spirogyra sp.       </v>
      </c>
      <c r="L23" s="204"/>
      <c r="M23" s="204"/>
      <c r="N23" s="204"/>
      <c r="O23" s="205"/>
      <c r="P23" s="206" t="n">
        <f aca="false">IF(ISTEXT(H23),"",(B23*$B$7/100)+(C23*$C$7/100))</f>
        <v>1.5</v>
      </c>
      <c r="Q23" s="207" t="n">
        <f aca="false">IF(OR(ISTEXT(H23),P23=0),"",IF(P23&lt;0.1,1,IF(P23&lt;1,2,IF(P23&lt;10,3,IF(P23&lt;50,4,IF(P23&gt;=50,5,""))))))</f>
        <v>3</v>
      </c>
      <c r="R23" s="207" t="n">
        <f aca="false">IF(ISERROR(Q23*I23),0,Q23*I23)</f>
        <v>30</v>
      </c>
      <c r="S23" s="207" t="n">
        <f aca="false">IF(ISERROR(Q23*I23*J23),0,Q23*I23*J23)</f>
        <v>30</v>
      </c>
      <c r="T23" s="207" t="n">
        <f aca="false">IF(ISERROR(Q23*J23),0,Q23*J23)</f>
        <v>3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SPI.SPX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70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 t="n">
        <v>0.25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Cladophora sp. </v>
      </c>
      <c r="E24" s="215" t="e">
        <f aca="false">IF(D24="",0,VLOOKUP(D24,D$22:D23,1,0))</f>
        <v>#N/A</v>
      </c>
      <c r="F24" s="216" t="n">
        <f aca="false">($B24*$B$7+$C24*$C$7)/100</f>
        <v>0.25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Cladophora sp. </v>
      </c>
      <c r="L24" s="220"/>
      <c r="M24" s="220"/>
      <c r="N24" s="220"/>
      <c r="O24" s="205"/>
      <c r="P24" s="206" t="n">
        <f aca="false">IF(ISTEXT(H24),"",(B24*$B$7/100)+(C24*$C$7/100))</f>
        <v>0.25</v>
      </c>
      <c r="Q24" s="207" t="n">
        <f aca="false">IF(OR(ISTEXT(H24),P24=0),"",IF(P24&lt;0.1,1,IF(P24&lt;1,2,IF(P24&lt;10,3,IF(P24&lt;50,4,IF(P24&gt;=50,5,""))))))</f>
        <v>2</v>
      </c>
      <c r="R24" s="207" t="n">
        <f aca="false">IF(ISERROR(Q24*I24),0,Q24*I24)</f>
        <v>12</v>
      </c>
      <c r="S24" s="207" t="n">
        <f aca="false">IF(ISERROR(Q24*I24*J24),0,Q24*I24*J24)</f>
        <v>12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CLA.SPX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24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75</v>
      </c>
      <c r="B25" s="213" t="n">
        <v>0.5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Oedogonium sp.</v>
      </c>
      <c r="E25" s="215" t="e">
        <f aca="false">IF(D25="",0,VLOOKUP(D25,D$22:D24,1,0))</f>
        <v>#N/A</v>
      </c>
      <c r="F25" s="216" t="n">
        <f aca="false">($B25*$B$7+$C25*$C$7)/100</f>
        <v>0.5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Oedogonium sp.</v>
      </c>
      <c r="L25" s="220"/>
      <c r="M25" s="220"/>
      <c r="N25" s="220"/>
      <c r="O25" s="205"/>
      <c r="P25" s="206" t="n">
        <f aca="false">IF(ISTEXT(H25),"",(B25*$B$7/100)+(C25*$C$7/100))</f>
        <v>0.5</v>
      </c>
      <c r="Q25" s="207" t="n">
        <f aca="false">IF(OR(ISTEXT(H25),P25=0),"",IF(P25&lt;0.1,1,IF(P25&lt;1,2,IF(P25&lt;10,3,IF(P25&lt;50,4,IF(P25&gt;=50,5,""))))))</f>
        <v>2</v>
      </c>
      <c r="R25" s="207" t="n">
        <f aca="false">IF(ISERROR(Q25*I25),0,Q25*I25)</f>
        <v>12</v>
      </c>
      <c r="S25" s="207" t="n">
        <f aca="false">IF(ISERROR(Q25*I25*J25),0,Q25*I25*J25)</f>
        <v>24</v>
      </c>
      <c r="T25" s="221" t="n">
        <f aca="false">IF(ISERROR(Q25*J25),0,Q25*J25)</f>
        <v>4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OED.SPX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56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76</v>
      </c>
      <c r="B26" s="213" t="n">
        <v>0.25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Melosira sp.</v>
      </c>
      <c r="E26" s="215" t="e">
        <f aca="false">IF(D26="",0,VLOOKUP(D26,D$22:D25,1,0))</f>
        <v>#N/A</v>
      </c>
      <c r="F26" s="216" t="n">
        <f aca="false">($B26*$B$7+$C26*$C$7)/100</f>
        <v>0.25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Melosira sp.</v>
      </c>
      <c r="L26" s="220"/>
      <c r="M26" s="220"/>
      <c r="N26" s="220"/>
      <c r="O26" s="205"/>
      <c r="P26" s="206" t="n">
        <f aca="false">IF(ISTEXT(H26),"",(B26*$B$7/100)+(C26*$C$7/100))</f>
        <v>0.25</v>
      </c>
      <c r="Q26" s="207" t="n">
        <f aca="false">IF(OR(ISTEXT(H26),P26=0),"",IF(P26&lt;0.1,1,IF(P26&lt;1,2,IF(P26&lt;10,3,IF(P26&lt;50,4,IF(P26&gt;=50,5,""))))))</f>
        <v>2</v>
      </c>
      <c r="R26" s="207" t="n">
        <f aca="false">IF(ISERROR(Q26*I26),0,Q26*I26)</f>
        <v>20</v>
      </c>
      <c r="S26" s="207" t="n">
        <f aca="false">IF(ISERROR(Q26*I26*J26),0,Q26*I26*J26)</f>
        <v>20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MEL.SPX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37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Lemanea gr. fluviatilis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15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Lemanea gr. fluviatilis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15</v>
      </c>
      <c r="S27" s="207" t="n">
        <f aca="false">IF(ISERROR(Q27*I27*J27),0,Q27*I27*J27)</f>
        <v>30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LEA.SPX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35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78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Oscillatoria sp.       </v>
      </c>
      <c r="E28" s="215" t="e">
        <f aca="false">IF(D28="",0,VLOOKUP(D28,D$22:D27,1,0))</f>
        <v>#N/A</v>
      </c>
      <c r="F28" s="216" t="n">
        <f aca="false">($B28*$B$7+$C28*$C$7)/100</f>
        <v>0.01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11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Oscillatoria sp.       </v>
      </c>
      <c r="L28" s="220"/>
      <c r="M28" s="220"/>
      <c r="N28" s="220"/>
      <c r="O28" s="205"/>
      <c r="P28" s="206" t="n">
        <f aca="false">IF(ISTEXT(H28),"",(B28*$B$7/100)+(C28*$C$7/100))</f>
        <v>0.01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11</v>
      </c>
      <c r="S28" s="207" t="n">
        <f aca="false">IF(ISERROR(Q28*I28*J28),0,Q28*I28*J28)</f>
        <v>11</v>
      </c>
      <c r="T28" s="221" t="n">
        <f aca="false">IF(ISERROR(Q28*J28),0,Q28*J28)</f>
        <v>1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OSC.SPX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57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79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Amblystegium riparium (Leptodictyum riparium)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5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Amblystegium riparium (Leptodictyum riparium)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5</v>
      </c>
      <c r="S29" s="207" t="n">
        <f aca="false">IF(ISERROR(Q29*I29*J29),0,Q29*I29*J29)</f>
        <v>10</v>
      </c>
      <c r="T29" s="221" t="n">
        <f aca="false">IF(ISERROR(Q29*J29),0,Q29*J29)</f>
        <v>2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AMB.RIP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149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80</v>
      </c>
      <c r="B30" s="213" t="n">
        <v>0.01</v>
      </c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Fontinalis antipyretica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Fontinalis antipyretica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10</v>
      </c>
      <c r="S30" s="207" t="n">
        <f aca="false">IF(ISERROR(Q30*I30*J30),0,Q30*I30*J30)</f>
        <v>10</v>
      </c>
      <c r="T30" s="221" t="n">
        <f aca="false">IF(ISERROR(Q30*J30),0,Q30*J30)</f>
        <v>1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FON.ANT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211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81</v>
      </c>
      <c r="B31" s="213" t="n">
        <v>2.27</v>
      </c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Ranunculus trichophyllus</v>
      </c>
      <c r="E31" s="215" t="e">
        <f aca="false">IF(D31="",0,VLOOKUP(D31,D$21:D30,1,0))</f>
        <v>#N/A</v>
      </c>
      <c r="F31" s="216" t="n">
        <f aca="false">($B31*$B$7+$C31*$C$7)/100</f>
        <v>2.27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8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11</v>
      </c>
      <c r="J31" s="202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Ranunculus trichophyllus</v>
      </c>
      <c r="L31" s="220"/>
      <c r="M31" s="220"/>
      <c r="N31" s="220"/>
      <c r="O31" s="205"/>
      <c r="P31" s="206" t="n">
        <f aca="false">IF(ISTEXT(H31),"",(B31*$B$7/100)+(C31*$C$7/100))</f>
        <v>2.27</v>
      </c>
      <c r="Q31" s="207" t="n">
        <f aca="false">IF(OR(ISTEXT(H31),P31=0),"",IF(P31&lt;0.1,1,IF(P31&lt;1,2,IF(P31&lt;10,3,IF(P31&lt;50,4,IF(P31&gt;=50,5,""))))))</f>
        <v>3</v>
      </c>
      <c r="R31" s="207" t="n">
        <f aca="false">IF(ISERROR(Q31*I31),0,Q31*I31)</f>
        <v>33</v>
      </c>
      <c r="S31" s="207" t="n">
        <f aca="false">IF(ISERROR(Q31*I31*J31),0,Q31*I31*J31)</f>
        <v>66</v>
      </c>
      <c r="T31" s="221" t="n">
        <f aca="false">IF(ISERROR(Q31*J31),0,Q31*J31)</f>
        <v>6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RAN.TRI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472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 t="s">
        <v>82</v>
      </c>
      <c r="B32" s="213" t="n">
        <v>0.01</v>
      </c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Myriophyllum spicatum</v>
      </c>
      <c r="E32" s="215" t="e">
        <f aca="false">IF(D32="",0,VLOOKUP(D32,D$22:D31,1,0))</f>
        <v>#N/A</v>
      </c>
      <c r="F32" s="216" t="n">
        <f aca="false">($B32*$B$7+$C32*$C$7)/100</f>
        <v>0.01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200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8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8</v>
      </c>
      <c r="J32" s="202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2</v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Myriophyllum spicatum</v>
      </c>
      <c r="L32" s="220"/>
      <c r="M32" s="220"/>
      <c r="N32" s="220"/>
      <c r="O32" s="205"/>
      <c r="P32" s="206" t="n">
        <f aca="false">IF(ISTEXT(H32),"",(B32*$B$7/100)+(C32*$C$7/100))</f>
        <v>0.01</v>
      </c>
      <c r="Q32" s="207" t="n">
        <f aca="false">IF(OR(ISTEXT(H32),P32=0),"",IF(P32&lt;0.1,1,IF(P32&lt;1,2,IF(P32&lt;10,3,IF(P32&lt;50,4,IF(P32&gt;=50,5,""))))))</f>
        <v>1</v>
      </c>
      <c r="R32" s="207" t="n">
        <f aca="false">IF(ISERROR(Q32*I32),0,Q32*I32)</f>
        <v>8</v>
      </c>
      <c r="S32" s="207" t="n">
        <f aca="false">IF(ISERROR(Q32*I32*J32),0,Q32*I32*J32)</f>
        <v>16</v>
      </c>
      <c r="T32" s="221" t="n">
        <f aca="false">IF(ISERROR(Q32*J32),0,Q32*J32)</f>
        <v>2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>MYR.SPI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377</v>
      </c>
      <c r="Z32" s="210"/>
      <c r="AA32" s="211"/>
      <c r="BB32" s="8" t="n">
        <f aca="false">IF(A32="","",1)</f>
        <v>1</v>
      </c>
    </row>
    <row r="33" customFormat="false" ht="12.75" hidden="false" customHeight="false" outlineLevel="0" collapsed="false">
      <c r="A33" s="212" t="s">
        <v>83</v>
      </c>
      <c r="B33" s="213" t="n">
        <v>0.01</v>
      </c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Rorippa amphibia</v>
      </c>
      <c r="E33" s="215" t="e">
        <f aca="false">IF(D33="",0,VLOOKUP(D33,D$22:D32,1,0))</f>
        <v>#N/A</v>
      </c>
      <c r="F33" s="216" t="n">
        <f aca="false">($B33*$B$7+$C33*$C$7)/100</f>
        <v>0.01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200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8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9</v>
      </c>
      <c r="J33" s="202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Rorippa amphibia</v>
      </c>
      <c r="L33" s="223"/>
      <c r="M33" s="223"/>
      <c r="N33" s="223"/>
      <c r="O33" s="224"/>
      <c r="P33" s="206" t="n">
        <f aca="false">IF(ISTEXT(H33),"",(B33*$B$7/100)+(C33*$C$7/100))</f>
        <v>0.01</v>
      </c>
      <c r="Q33" s="207" t="n">
        <f aca="false">IF(OR(ISTEXT(H33),P33=0),"",IF(P33&lt;0.1,1,IF(P33&lt;1,2,IF(P33&lt;10,3,IF(P33&lt;50,4,IF(P33&gt;=50,5,""))))))</f>
        <v>1</v>
      </c>
      <c r="R33" s="207" t="n">
        <f aca="false">IF(ISERROR(Q33*I33),0,Q33*I33)</f>
        <v>9</v>
      </c>
      <c r="S33" s="207" t="n">
        <f aca="false">IF(ISERROR(Q33*I33*J33),0,Q33*I33*J33)</f>
        <v>9</v>
      </c>
      <c r="T33" s="221" t="n">
        <f aca="false">IF(ISERROR(Q33*J33),0,Q33*J33)</f>
        <v>1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>ROR.AMP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651</v>
      </c>
      <c r="Z33" s="210"/>
      <c r="AA33" s="211"/>
      <c r="BB33" s="8" t="n">
        <f aca="false">IF(A33="","",1)</f>
        <v>1</v>
      </c>
    </row>
    <row r="34" customFormat="false" ht="12.75" hidden="false" customHeight="false" outlineLevel="0" collapsed="false">
      <c r="A34" s="212" t="s">
        <v>84</v>
      </c>
      <c r="B34" s="213" t="n">
        <v>0.01</v>
      </c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Ranunculus fluitans</v>
      </c>
      <c r="E34" s="215" t="e">
        <f aca="false">IF(D34="",0,VLOOKUP(D34,D$22:D33,1,0))</f>
        <v>#N/A</v>
      </c>
      <c r="F34" s="225" t="n">
        <f aca="false">($B34*$B$7+$C34*$C$7)/100</f>
        <v>0.01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PHy</v>
      </c>
      <c r="H34" s="200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7</v>
      </c>
      <c r="I34" s="218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2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2</v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Ranunculus fluitans</v>
      </c>
      <c r="L34" s="223"/>
      <c r="M34" s="223"/>
      <c r="N34" s="223"/>
      <c r="O34" s="224"/>
      <c r="P34" s="206" t="n">
        <f aca="false">IF(ISTEXT(H34),"",(B34*$B$7/100)+(C34*$C$7/100))</f>
        <v>0.01</v>
      </c>
      <c r="Q34" s="207" t="n">
        <f aca="false">IF(OR(ISTEXT(H34),P34=0),"",IF(P34&lt;0.1,1,IF(P34&lt;1,2,IF(P34&lt;10,3,IF(P34&lt;50,4,IF(P34&gt;=50,5,""))))))</f>
        <v>1</v>
      </c>
      <c r="R34" s="207" t="n">
        <f aca="false">IF(ISERROR(Q34*I34),0,Q34*I34)</f>
        <v>10</v>
      </c>
      <c r="S34" s="207" t="n">
        <f aca="false">IF(ISERROR(Q34*I34*J34),0,Q34*I34*J34)</f>
        <v>20</v>
      </c>
      <c r="T34" s="221" t="n">
        <f aca="false">IF(ISERROR(Q34*J34),0,Q34*J34)</f>
        <v>2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>RAN.FLU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460</v>
      </c>
      <c r="Z34" s="210"/>
      <c r="AA34" s="211"/>
      <c r="BB34" s="8" t="n">
        <f aca="false">IF(A34="","",1)</f>
        <v>1</v>
      </c>
    </row>
    <row r="35" customFormat="false" ht="12.75" hidden="false" customHeight="false" outlineLevel="0" collapsed="false">
      <c r="A35" s="212" t="s">
        <v>15</v>
      </c>
      <c r="B35" s="213" t="n">
        <v>6.5</v>
      </c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Hildenbrandia rivularis</v>
      </c>
      <c r="E35" s="215" t="e">
        <f aca="false">IF(D35="",0,VLOOKUP(D35,D$22:D34,1,0))</f>
        <v>#N/A</v>
      </c>
      <c r="F35" s="225" t="n">
        <f aca="false">($B35*$B$7+$C35*$C$7)/100</f>
        <v>6.5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ALG</v>
      </c>
      <c r="H35" s="200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2</v>
      </c>
      <c r="I35" s="218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15</v>
      </c>
      <c r="J35" s="202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2</v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Hildenbrandia rivularis</v>
      </c>
      <c r="L35" s="220"/>
      <c r="M35" s="220"/>
      <c r="N35" s="220"/>
      <c r="O35" s="205"/>
      <c r="P35" s="206" t="n">
        <f aca="false">IF(ISTEXT(H35),"",(B35*$B$7/100)+(C35*$C$7/100))</f>
        <v>6.5</v>
      </c>
      <c r="Q35" s="207" t="n">
        <f aca="false">IF(OR(ISTEXT(H35),P35=0),"",IF(P35&lt;0.1,1,IF(P35&lt;1,2,IF(P35&lt;10,3,IF(P35&lt;50,4,IF(P35&gt;=50,5,""))))))</f>
        <v>3</v>
      </c>
      <c r="R35" s="207" t="n">
        <f aca="false">IF(ISERROR(Q35*I35),0,Q35*I35)</f>
        <v>45</v>
      </c>
      <c r="S35" s="207" t="n">
        <f aca="false">IF(ISERROR(Q35*I35*J35),0,Q35*I35*J35)</f>
        <v>90</v>
      </c>
      <c r="T35" s="221" t="n">
        <f aca="false">IF(ISERROR(Q35*J35),0,Q35*J35)</f>
        <v>6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>HIL.SPX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31</v>
      </c>
      <c r="Z35" s="210"/>
      <c r="AA35" s="211"/>
      <c r="BB35" s="8" t="n">
        <f aca="false">IF(A35="","",1)</f>
        <v>1</v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85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Allier</v>
      </c>
      <c r="B84" s="246" t="str">
        <f aca="false">C3</f>
        <v>Cournon d'Auvergne</v>
      </c>
      <c r="C84" s="247" t="n">
        <f aca="false">A4</f>
        <v>40403</v>
      </c>
      <c r="D84" s="248" t="n">
        <f aca="false">IF(ISERROR(SUM($S$23:$S$82)/SUM($T$23:$T$82)),"",SUM($S$23:$S$82)/SUM($T$23:$T$82))</f>
        <v>10.2352941176471</v>
      </c>
      <c r="E84" s="249" t="n">
        <f aca="false">N13</f>
        <v>13</v>
      </c>
      <c r="F84" s="246" t="n">
        <f aca="false">N14</f>
        <v>13</v>
      </c>
      <c r="G84" s="246" t="n">
        <f aca="false">N15</f>
        <v>6</v>
      </c>
      <c r="H84" s="246" t="n">
        <f aca="false">N16</f>
        <v>7</v>
      </c>
      <c r="I84" s="246" t="n">
        <f aca="false">N17</f>
        <v>0</v>
      </c>
      <c r="J84" s="250" t="n">
        <f aca="false">N8</f>
        <v>9.69230769230769</v>
      </c>
      <c r="K84" s="248" t="n">
        <f aca="false">N9</f>
        <v>3.06552375581007</v>
      </c>
      <c r="L84" s="249" t="n">
        <f aca="false">N10</f>
        <v>5</v>
      </c>
      <c r="M84" s="249" t="n">
        <f aca="false">N11</f>
        <v>15</v>
      </c>
      <c r="N84" s="248" t="n">
        <f aca="false">O8</f>
        <v>1.53846153846154</v>
      </c>
      <c r="O84" s="248" t="n">
        <f aca="false">O9</f>
        <v>0.518874521662771</v>
      </c>
      <c r="P84" s="249" t="n">
        <f aca="false">O10</f>
        <v>1</v>
      </c>
      <c r="Q84" s="249" t="n">
        <f aca="false">O11</f>
        <v>2</v>
      </c>
      <c r="R84" s="251" t="n">
        <f aca="false">F21</f>
        <v>11.34</v>
      </c>
      <c r="S84" s="249" t="n">
        <f aca="false">K11</f>
        <v>0</v>
      </c>
      <c r="T84" s="249" t="n">
        <f aca="false">K12</f>
        <v>7</v>
      </c>
      <c r="U84" s="249" t="n">
        <f aca="false">K13</f>
        <v>2</v>
      </c>
      <c r="V84" s="252" t="n">
        <f aca="false">K14</f>
        <v>0</v>
      </c>
      <c r="W84" s="253" t="n">
        <f aca="false">K15</f>
        <v>4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86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87</v>
      </c>
      <c r="Q87" s="8"/>
      <c r="R87" s="208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88</v>
      </c>
      <c r="Q88" s="8"/>
      <c r="R88" s="208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89</v>
      </c>
      <c r="Q89" s="8"/>
      <c r="R89" s="208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90</v>
      </c>
      <c r="Q90" s="8"/>
      <c r="R90" s="255" t="n">
        <f aca="false">IF(ISERROR(SUM($S$23:$S$82)/SUM($T$23:$T$82)),"",(SUM($S$23:$S$82)-R88)/(SUM($T$23:$T$82)-R89))</f>
        <v>9.21428571428571</v>
      </c>
      <c r="S90" s="8"/>
    </row>
    <row r="91" customFormat="false" ht="12.75" hidden="true" customHeight="false" outlineLevel="0" collapsed="false">
      <c r="P91" s="207" t="s">
        <v>91</v>
      </c>
      <c r="Q91" s="207"/>
      <c r="R91" s="207" t="str">
        <f aca="false">INDEX('[1]liste reference'!$A$7:$A$906,$S$91)</f>
        <v>HIL.SPX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4"/>
    </row>
    <row r="92" customFormat="false" ht="12.75" hidden="true" customHeight="false" outlineLevel="0" collapsed="false">
      <c r="P92" s="8" t="s">
        <v>92</v>
      </c>
      <c r="Q92" s="8"/>
      <c r="R92" s="8" t="n">
        <f aca="false">MATCH(R87,$R$23:$R$82,0)</f>
        <v>13</v>
      </c>
      <c r="S92" s="8"/>
    </row>
    <row r="93" customFormat="false" ht="12.75" hidden="true" customHeight="false" outlineLevel="0" collapsed="false">
      <c r="P93" s="207" t="s">
        <v>93</v>
      </c>
      <c r="Q93" s="8"/>
      <c r="R93" s="207" t="str">
        <f aca="false">INDEX($A$23:$A$82,$R$92)</f>
        <v>HIL.SPX</v>
      </c>
      <c r="S93" s="8"/>
    </row>
    <row r="94" customFormat="false" ht="12.75" hidden="false" customHeight="false" outlineLevel="0" collapsed="false">
      <c r="R94" s="24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2024-03-13T19:02:13Z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