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R" sheetId="1" state="visible" r:id="rId2"/>
  </sheets>
  <externalReferences>
    <externalReference r:id="rId3"/>
  </externalReferences>
  <definedNames>
    <definedName function="false" hidden="false" localSheetId="0" name="Excel_BuiltIn_Print_Area" vbProcedure="false">DOR!$A$1:$O$82</definedName>
    <definedName function="false" hidden="false" localSheetId="0" name="Excel_BuiltIn__FilterDatabase" vbProcedure="false">DOR!$A$23:$J$84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<sst xmlns="http://schemas.openxmlformats.org/spreadsheetml/2006/main" count="99" uniqueCount="96">
  <si>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</si>
  <si>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</si>
  <si>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</si>
  <si>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</si>
  <si>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</si>
  <si>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DORE</t>
  </si>
  <si>
    <t xml:space="preserve">Dore l'église / amont pont Verdelet</t>
  </si>
  <si>
    <t xml:space="preserve">04036300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</si>
  <si>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</si>
  <si>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</si>
  <si>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</si>
  <si>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</si>
  <si>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</si>
  <si>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</si>
  <si>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</si>
  <si>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</si>
  <si>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</si>
  <si>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</si>
  <si>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</si>
  <si>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</si>
  <si>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</si>
  <si>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</si>
  <si>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</si>
  <si>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</si>
  <si>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</si>
  <si>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</si>
  <si>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</si>
  <si>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</si>
  <si>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</si>
  <si>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</si>
  <si>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</si>
  <si>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</si>
  <si>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</si>
  <si>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</si>
  <si>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</si>
  <si>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</si>
  <si>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</si>
  <si>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</si>
  <si>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</si>
  <si>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</si>
  <si>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</si>
  <si>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</si>
  <si>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</si>
  <si>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</si>
  <si>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</si>
  <si>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</si>
  <si>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</si>
  <si>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</si>
  <si>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</si>
  <si>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</si>
  <si>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</si>
  <si>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</si>
  <si>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</si>
  <si>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</si>
  <si>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</si>
  <si>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</si>
  <si>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</si>
  <si>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</si>
  <si>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</si>
  <si>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</si>
  <si>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</si>
  <si>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</si>
  <si>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</si>
  <si>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</si>
  <si>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</si>
  <si>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</si>
  <si>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</si>
  <si>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</si>
  <si>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</si>
  <si>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</si>
  <si>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</si>
  <si>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</si>
  <si>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</si>
  <si>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OSC.SPX</t>
  </si>
  <si>
    <t xml:space="preserve">DER.WEB</t>
  </si>
  <si>
    <t xml:space="preserve">AMB.FLU</t>
  </si>
  <si>
    <t xml:space="preserve">BRA.RIV</t>
  </si>
  <si>
    <t xml:space="preserve">CHI.POL</t>
  </si>
  <si>
    <t xml:space="preserve">FIS.CRA</t>
  </si>
  <si>
    <t xml:space="preserve">FON.SQU</t>
  </si>
  <si>
    <t xml:space="preserve">RHY.RIP</t>
  </si>
  <si>
    <t xml:space="preserve">SCA.UND</t>
  </si>
  <si>
    <t xml:space="preserve">SCS.RIV</t>
  </si>
  <si>
    <t xml:space="preserve">AGR.STO</t>
  </si>
  <si>
    <t xml:space="preserve">MEN.AQU</t>
  </si>
  <si>
    <t xml:space="preserve">RAN.REP</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</si>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</sst>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39283</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14.4716981132075</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65</v>
      </c>
      <c r="C7" s="65" t="n">
        <v>35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13.3333333333333</v>
      </c>
      <c r="O8" s="82" t="n">
        <f aca="false">AVERAGE(J23:J82)</f>
        <v>1.93333333333333</v>
      </c>
      <c r="P8" s="8"/>
      <c r="Q8" s="8"/>
      <c r="R8" s="8"/>
      <c r="S8" s="8"/>
      <c r="T8" s="8"/>
      <c r="U8" s="8"/>
      <c r="V8" s="20"/>
      <c r="W8" s="21"/>
    </row>
    <row r="9" customFormat="false" ht="13.5" hidden="false" customHeight="false" outlineLevel="0" collapsed="false">
      <c r="A9" s="83" t="s">
        <v>25</v>
      </c>
      <c r="B9" s="84" t="n">
        <v>14.6</v>
      </c>
      <c r="C9" s="85" t="n">
        <v>0.9</v>
      </c>
      <c r="D9" s="86"/>
      <c r="E9" s="86"/>
      <c r="F9" s="87" t="n">
        <f aca="false">($B9*$B$7+$C9*$C$7)/100</f>
        <v>9.805</v>
      </c>
      <c r="G9" s="88"/>
      <c r="H9" s="89"/>
      <c r="I9" s="90"/>
      <c r="J9" s="91"/>
      <c r="K9" s="71"/>
      <c r="L9" s="92"/>
      <c r="M9" s="80" t="s">
        <v>26</v>
      </c>
      <c r="N9" s="81" t="n">
        <f aca="false">STDEV(I23:I82)</f>
        <v>2.35027860557201</v>
      </c>
      <c r="O9" s="82" t="n">
        <f aca="false">STDEV(J23:J82)</f>
        <v>0.79880863671798</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0.25</v>
      </c>
      <c r="C12" s="117"/>
      <c r="D12" s="109"/>
      <c r="E12" s="109"/>
      <c r="F12" s="110" t="n">
        <f aca="false">($B12*$B$7+$C12*$C$7)/100</f>
        <v>0.1625</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14.35</v>
      </c>
      <c r="C13" s="117" t="n">
        <v>0.75</v>
      </c>
      <c r="D13" s="109"/>
      <c r="E13" s="109"/>
      <c r="F13" s="110" t="n">
        <f aca="false">($B13*$B$7+$C13*$C$7)/100</f>
        <v>9.59</v>
      </c>
      <c r="G13" s="118"/>
      <c r="H13" s="66"/>
      <c r="I13" s="119" t="s">
        <v>36</v>
      </c>
      <c r="J13" s="119"/>
      <c r="K13" s="113" t="n">
        <f aca="false">COUNTIF($G$23:$G$82,"=BRm")+COUNTIF($G$23:$G$82,"=BRh")</f>
        <v>8</v>
      </c>
      <c r="L13" s="114"/>
      <c r="M13" s="124" t="s">
        <v>37</v>
      </c>
      <c r="N13" s="125" t="n">
        <f aca="false">COUNTIF(F23:F82,"&gt;0")</f>
        <v>16</v>
      </c>
      <c r="O13" s="126"/>
      <c r="P13" s="8"/>
      <c r="Q13" s="8"/>
      <c r="R13" s="8"/>
      <c r="S13" s="8"/>
      <c r="T13" s="8"/>
      <c r="U13" s="8"/>
    </row>
    <row r="14" customFormat="false" ht="12.75" hidden="false" customHeight="false" outlineLevel="0" collapsed="false">
      <c r="A14" s="115" t="s">
        <v>38</v>
      </c>
      <c r="B14" s="116"/>
      <c r="C14" s="117" t="n">
        <v>0.05</v>
      </c>
      <c r="D14" s="109"/>
      <c r="E14" s="109"/>
      <c r="F14" s="110" t="n">
        <f aca="false">($B14*$B$7+$C14*$C$7)/100</f>
        <v>0.0175</v>
      </c>
      <c r="G14" s="118"/>
      <c r="H14" s="66"/>
      <c r="I14" s="119" t="s">
        <v>39</v>
      </c>
      <c r="J14" s="119"/>
      <c r="K14" s="113" t="n">
        <f aca="false">COUNTIF($G$23:$G$82,"=PTE")</f>
        <v>0</v>
      </c>
      <c r="L14" s="114"/>
      <c r="M14" s="127" t="s">
        <v>40</v>
      </c>
      <c r="N14" s="128" t="n">
        <f aca="false">COUNTIF($I$23:$I$82,"&gt;-1")</f>
        <v>15</v>
      </c>
      <c r="O14" s="129"/>
      <c r="P14" s="8"/>
      <c r="Q14" s="8"/>
      <c r="R14" s="8"/>
      <c r="S14" s="8"/>
      <c r="T14" s="8"/>
      <c r="U14" s="8"/>
    </row>
    <row r="15" customFormat="false" ht="12.75" hidden="false" customHeight="false" outlineLevel="0" collapsed="false">
      <c r="A15" s="130" t="s">
        <v>41</v>
      </c>
      <c r="B15" s="131"/>
      <c r="C15" s="132" t="n">
        <v>0.1</v>
      </c>
      <c r="D15" s="109"/>
      <c r="E15" s="109"/>
      <c r="F15" s="110" t="n">
        <f aca="false">($B15*$B$7+$C15*$C$7)/100</f>
        <v>0.035</v>
      </c>
      <c r="G15" s="118"/>
      <c r="H15" s="66"/>
      <c r="I15" s="119" t="s">
        <v>42</v>
      </c>
      <c r="J15" s="119"/>
      <c r="K15" s="113" t="n">
        <f aca="false">(COUNTIF($G$23:$G$82,"=PHy"))+(COUNTIF($G$23:$G$82,"=PHe"))+(COUNTIF($G$23:$G$82,"=PHg"))+(COUNTIF($G$23:$G$82,"=PHx"))</f>
        <v>4</v>
      </c>
      <c r="L15" s="114"/>
      <c r="M15" s="133" t="s">
        <v>43</v>
      </c>
      <c r="N15" s="134" t="n">
        <f aca="false">COUNTIF(J23:J82,"=1")</f>
        <v>5</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14.6</v>
      </c>
      <c r="C17" s="117" t="n">
        <v>0.8</v>
      </c>
      <c r="D17" s="109"/>
      <c r="E17" s="109"/>
      <c r="F17" s="139"/>
      <c r="G17" s="110" t="n">
        <f aca="false">($B17*$B$7+$C17*$C$7)/100</f>
        <v>9.77</v>
      </c>
      <c r="H17" s="66"/>
      <c r="I17" s="119"/>
      <c r="J17" s="119"/>
      <c r="K17" s="138"/>
      <c r="L17" s="114"/>
      <c r="M17" s="133" t="s">
        <v>47</v>
      </c>
      <c r="N17" s="134" t="n">
        <f aca="false">COUNTIF(J23:J82,"=3")</f>
        <v>4</v>
      </c>
      <c r="O17" s="135"/>
      <c r="P17" s="8"/>
      <c r="Q17" s="8"/>
      <c r="R17" s="8"/>
      <c r="S17" s="8"/>
      <c r="T17" s="8"/>
      <c r="U17" s="8"/>
    </row>
    <row r="18" customFormat="false" ht="12.75" hidden="false" customHeight="false" outlineLevel="0" collapsed="false">
      <c r="A18" s="140" t="s">
        <v>48</v>
      </c>
      <c r="B18" s="141"/>
      <c r="C18" s="142" t="n">
        <v>0.1</v>
      </c>
      <c r="D18" s="109"/>
      <c r="E18" s="143" t="s">
        <v>49</v>
      </c>
      <c r="F18" s="139"/>
      <c r="G18" s="110" t="n">
        <f aca="false">($B18*$B$7+$C18*$C$7)/100</f>
        <v>0.035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9.805</v>
      </c>
      <c r="G19" s="151" t="n">
        <f aca="false">SUM(G16:G18)</f>
        <v>9.805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14.63</v>
      </c>
      <c r="C20" s="160" t="n">
        <f aca="false">SUM(C23:C82)</f>
        <v>1.62</v>
      </c>
      <c r="D20" s="161"/>
      <c r="E20" s="162" t="s">
        <v>49</v>
      </c>
      <c r="F20" s="163" t="n">
        <f aca="false">($B20*$B$7+$C20*$C$7)/100</f>
        <v>10.0765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9.5095</v>
      </c>
      <c r="C21" s="172" t="n">
        <f aca="false">C20*C7/100</f>
        <v>0.567</v>
      </c>
      <c r="D21" s="109" t="str">
        <f aca="false">IF(F21=0,"",IF((ABS(F21-F19))&gt;(0.2*F21),CONCATENATE(" rec. par taxa (",F21," %) supérieur à 20 % !"),""))</f>
        <v/>
      </c>
      <c r="E21" s="173" t="str">
        <f aca="false">IF(F21=0,"",IF((ABS(F21-F19))&gt;(0.2*F21),CONCATENATE("ATTENTION : écart entre rec. par grp (",F19," %) ","et",""),""))</f>
        <v/>
      </c>
      <c r="F21" s="174" t="n">
        <f aca="false">B21+C21</f>
        <v>10.0765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0.03</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0.0195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0.0195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0.2</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0.13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0.13</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73</v>
      </c>
      <c r="B25" s="213" t="n">
        <v>0.05</v>
      </c>
      <c r="C25" s="214"/>
      <c r="D25" s="215" t="str">
        <f aca="false">IF(ISERROR(VLOOKUP($A25,'[1]liste reference'!$A$7:$D$906,2,0)),IF(ISERROR(VLOOKUP($A25,'[1]liste reference'!$B$7:$D$906,1,0)),"",VLOOKUP($A25,'[1]liste reference'!$B$7:$D$906,1,0)),VLOOKUP($A25,'[1]liste reference'!$A$7:$D$906,2,0))</f>
        <v>Oscillatoria sp.</v>
      </c>
      <c r="E25" s="215" t="e">
        <f aca="false">IF(D25="",0,VLOOKUP(D25,D$22:D24,1,0))</f>
        <v>#N/A</v>
      </c>
      <c r="F25" s="216" t="n">
        <f aca="false">($B25*$B$7+$C25*$C$7)/100</f>
        <v>0.0325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v>
      </c>
      <c r="L25" s="220"/>
      <c r="M25" s="220"/>
      <c r="N25" s="220"/>
      <c r="O25" s="205"/>
      <c r="P25" s="206" t="n">
        <f aca="false">IF(ISTEXT(H25),"",(B25*$B$7/100)+(C25*$C$7/100))</f>
        <v>0.0325</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74</v>
      </c>
      <c r="B27" s="213"/>
      <c r="C27" s="214" t="n">
        <v>0.05</v>
      </c>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0.0175</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0"/>
      <c r="M27" s="220"/>
      <c r="N27" s="220"/>
      <c r="O27" s="205"/>
      <c r="P27" s="206" t="n">
        <f aca="false">IF(ISTEXT(H27),"",(B27*$B$7/100)+(C27*$C$7/100))</f>
        <v>0.0175</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75</v>
      </c>
      <c r="B29" s="213" t="n">
        <v>1</v>
      </c>
      <c r="C29" s="214" t="n">
        <v>0.5</v>
      </c>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0.825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0.825</v>
      </c>
      <c r="Q29" s="207" t="n">
        <f aca="false">IF(OR(ISTEXT(H29),P29=0),"",IF(P29&lt;0.1,1,IF(P29&lt;1,2,IF(P29&lt;10,3,IF(P29&lt;50,4,IF(P29&gt;=50,5,""))))))</f>
        <v>2</v>
      </c>
      <c r="R29" s="207" t="n">
        <f aca="false">IF(ISERROR(Q29*I29),0,Q29*I29)</f>
        <v>22</v>
      </c>
      <c r="S29" s="207" t="n">
        <f aca="false">IF(ISERROR(Q29*I29*J29),0,Q29*I29*J29)</f>
        <v>44</v>
      </c>
      <c r="T29" s="221" t="n">
        <f aca="false">IF(ISERROR(Q29*J29),0,Q29*J29)</f>
        <v>4</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76</v>
      </c>
      <c r="B30" s="213" t="n">
        <v>0.5</v>
      </c>
      <c r="C30" s="214"/>
      <c r="D30" s="215" t="str">
        <f aca="false">IF(ISERROR(VLOOKUP($A30,'[1]liste reference'!$A$7:$D$906,2,0)),IF(ISERROR(VLOOKUP($A30,'[1]liste reference'!$B$7:$D$906,1,0)),"",VLOOKUP($A30,'[1]liste reference'!$B$7:$D$906,1,0)),VLOOKUP($A30,'[1]liste reference'!$A$7:$D$906,2,0))</f>
        <v>Brachythecium rivulare</v>
      </c>
      <c r="E30" s="215" t="e">
        <f aca="false">IF(D30="",0,VLOOKUP(D30,D$22:D29,1,0))</f>
        <v>#N/A</v>
      </c>
      <c r="F30" s="216" t="n">
        <f aca="false">($B30*$B$7+$C30*$C$7)/100</f>
        <v>0.325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Brachythecium rivulare</v>
      </c>
      <c r="L30" s="220"/>
      <c r="M30" s="220"/>
      <c r="N30" s="220"/>
      <c r="O30" s="205"/>
      <c r="P30" s="206" t="n">
        <f aca="false">IF(ISTEXT(H30),"",(B30*$B$7/100)+(C30*$C$7/100))</f>
        <v>0.325</v>
      </c>
      <c r="Q30" s="207" t="n">
        <f aca="false">IF(OR(ISTEXT(H30),P30=0),"",IF(P30&lt;0.1,1,IF(P30&lt;1,2,IF(P30&lt;10,3,IF(P30&lt;50,4,IF(P30&gt;=50,5,""))))))</f>
        <v>2</v>
      </c>
      <c r="R30" s="207" t="n">
        <f aca="false">IF(ISERROR(Q30*I30),0,Q30*I30)</f>
        <v>30</v>
      </c>
      <c r="S30" s="207" t="n">
        <f aca="false">IF(ISERROR(Q30*I30*J30),0,Q30*I30*J30)</f>
        <v>60</v>
      </c>
      <c r="T30" s="221" t="n">
        <f aca="false">IF(ISERROR(Q30*J30),0,Q30*J30)</f>
        <v>4</v>
      </c>
      <c r="U30" s="208" t="str">
        <f aca="false">IF(AND(A30="",F30=0),"",IF(F30=0,"Il manque le(s) % de rec. !",""))</f>
        <v/>
      </c>
      <c r="V30" s="209"/>
      <c r="X30" s="207" t="str">
        <f aca="false">IF(A30="new.cod","NEW.COD",IF(AND((Y30=""),ISTEXT(A30)),A30,IF(Y30="","",INDEX('[1]liste reference'!$A$7:$A$906,Y30))))</f>
        <v>BRA.RIV</v>
      </c>
      <c r="Y30" s="8" t="n">
        <f aca="false">IF(ISERROR(MATCH(A30,'[1]liste reference'!$A$7:$A$906,0)),IF(ISERROR(MATCH(A30,'[1]liste reference'!$B$7:$B$906,0)),"",(MATCH(A30,'[1]liste reference'!$B$7:$B$906,0))),(MATCH(A30,'[1]liste reference'!$A$7:$A$906,0)))</f>
        <v>156</v>
      </c>
      <c r="Z30" s="210"/>
      <c r="AA30" s="211"/>
      <c r="BB30" s="8" t="n">
        <f aca="false">IF(A30="","",1)</f>
        <v>1</v>
      </c>
    </row>
    <row r="31" customFormat="false" ht="12.75" hidden="false" customHeight="false" outlineLevel="0" collapsed="false">
      <c r="A31" s="212" t="s">
        <v>77</v>
      </c>
      <c r="B31" s="213" t="n">
        <v>1.5</v>
      </c>
      <c r="C31" s="214" t="n">
        <v>0.2</v>
      </c>
      <c r="D31" s="215" t="str">
        <f aca="false">IF(ISERROR(VLOOKUP($A31,'[1]liste reference'!$A$7:$D$906,2,0)),IF(ISERROR(VLOOKUP($A31,'[1]liste reference'!$B$7:$D$906,1,0)),"",VLOOKUP($A31,'[1]liste reference'!$B$7:$D$906,1,0)),VLOOKUP($A31,'[1]liste reference'!$A$7:$D$906,2,0))</f>
        <v>Chiloscyphus polyanthos var. polyanthos (C. polyanthos)</v>
      </c>
      <c r="E31" s="215" t="e">
        <f aca="false">IF(D31="",0,VLOOKUP(D31,D$21:D30,1,0))</f>
        <v>#N/A</v>
      </c>
      <c r="F31" s="216" t="n">
        <f aca="false">($B31*$B$7+$C31*$C$7)/100</f>
        <v>1.045</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Chiloscyphus polyanthos var. polyanthos (C. polyanthos)</v>
      </c>
      <c r="L31" s="220"/>
      <c r="M31" s="220"/>
      <c r="N31" s="220"/>
      <c r="O31" s="205"/>
      <c r="P31" s="206" t="n">
        <f aca="false">IF(ISTEXT(H31),"",(B31*$B$7/100)+(C31*$C$7/100))</f>
        <v>1.045</v>
      </c>
      <c r="Q31" s="207" t="n">
        <f aca="false">IF(OR(ISTEXT(H31),P31=0),"",IF(P31&lt;0.1,1,IF(P31&lt;1,2,IF(P31&lt;10,3,IF(P31&lt;50,4,IF(P31&gt;=50,5,""))))))</f>
        <v>3</v>
      </c>
      <c r="R31" s="207" t="n">
        <f aca="false">IF(ISERROR(Q31*I31),0,Q31*I31)</f>
        <v>45</v>
      </c>
      <c r="S31" s="207" t="n">
        <f aca="false">IF(ISERROR(Q31*I31*J31),0,Q31*I31*J31)</f>
        <v>90</v>
      </c>
      <c r="T31" s="221" t="n">
        <f aca="false">IF(ISERROR(Q31*J31),0,Q31*J31)</f>
        <v>6</v>
      </c>
      <c r="U31" s="208" t="str">
        <f aca="false">IF(AND(A31="",F31=0),"",IF(F31=0,"Il manque le(s) % de rec. !",""))</f>
        <v/>
      </c>
      <c r="V31" s="209"/>
      <c r="W31" s="222"/>
      <c r="X31" s="207" t="str">
        <f aca="false">IF(A31="new.cod","NEW.COD",IF(AND((Y31=""),ISTEXT(A31)),A31,IF(Y31="","",INDEX('[1]liste reference'!$A$7:$A$906,Y31))))</f>
        <v>CHI.POL</v>
      </c>
      <c r="Y31" s="8" t="n">
        <f aca="false">IF(ISERROR(MATCH(A31,'[1]liste reference'!$A$7:$A$906,0)),IF(ISERROR(MATCH(A31,'[1]liste reference'!$B$7:$B$906,0)),"",(MATCH(A31,'[1]liste reference'!$B$7:$B$906,0))),(MATCH(A31,'[1]liste reference'!$A$7:$A$906,0)))</f>
        <v>98</v>
      </c>
      <c r="Z31" s="210"/>
      <c r="AA31" s="211"/>
      <c r="BB31" s="8" t="n">
        <f aca="false">IF(A31="","",1)</f>
        <v>1</v>
      </c>
    </row>
    <row r="32" customFormat="false" ht="12.75" hidden="false" customHeight="false" outlineLevel="0" collapsed="false">
      <c r="A32" s="212" t="s">
        <v>78</v>
      </c>
      <c r="B32" s="213" t="n">
        <v>0.05</v>
      </c>
      <c r="C32" s="214"/>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0.0325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0.0325</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79</v>
      </c>
      <c r="B33" s="213" t="n">
        <v>5</v>
      </c>
      <c r="C33" s="214" t="n">
        <v>0.1</v>
      </c>
      <c r="D33" s="215" t="str">
        <f aca="false">IF(ISERROR(VLOOKUP($A33,'[1]liste reference'!$A$7:$D$906,2,0)),IF(ISERROR(VLOOKUP($A33,'[1]liste reference'!$B$7:$D$906,1,0)),"",VLOOKUP($A33,'[1]liste reference'!$B$7:$D$906,1,0)),VLOOKUP($A33,'[1]liste reference'!$A$7:$D$906,2,0))</f>
        <v>Fontinalis squamosa</v>
      </c>
      <c r="E33" s="215" t="e">
        <f aca="false">IF(D33="",0,VLOOKUP(D33,D$22:D32,1,0))</f>
        <v>#N/A</v>
      </c>
      <c r="F33" s="216" t="n">
        <f aca="false">($B33*$B$7+$C33*$C$7)/100</f>
        <v>3.285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3"/>
      <c r="M33" s="223"/>
      <c r="N33" s="223"/>
      <c r="O33" s="224"/>
      <c r="P33" s="206" t="n">
        <f aca="false">IF(ISTEXT(H33),"",(B33*$B$7/100)+(C33*$C$7/100))</f>
        <v>3.285</v>
      </c>
      <c r="Q33" s="207" t="n">
        <f aca="false">IF(OR(ISTEXT(H33),P33=0),"",IF(P33&lt;0.1,1,IF(P33&lt;1,2,IF(P33&lt;10,3,IF(P33&lt;50,4,IF(P33&gt;=50,5,""))))))</f>
        <v>3</v>
      </c>
      <c r="R33" s="207" t="n">
        <f aca="false">IF(ISERROR(Q33*I33),0,Q33*I33)</f>
        <v>48</v>
      </c>
      <c r="S33" s="207" t="n">
        <f aca="false">IF(ISERROR(Q33*I33*J33),0,Q33*I33*J33)</f>
        <v>144</v>
      </c>
      <c r="T33" s="221" t="n">
        <f aca="false">IF(ISERROR(Q33*J33),0,Q33*J33)</f>
        <v>9</v>
      </c>
      <c r="U33" s="208" t="str">
        <f aca="false">IF(AND(A33="",F33=0),"",IF(F33=0,"Il manque le(s) % de rec. !",""))</f>
        <v/>
      </c>
      <c r="V33" s="209"/>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80</v>
      </c>
      <c r="B34" s="213" t="n">
        <v>6</v>
      </c>
      <c r="C34" s="214" t="n">
        <v>0.5</v>
      </c>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5" t="n">
        <f aca="false">($B34*$B$7+$C34*$C$7)/100</f>
        <v>4.075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3"/>
      <c r="M34" s="223"/>
      <c r="N34" s="223"/>
      <c r="O34" s="224"/>
      <c r="P34" s="206" t="n">
        <f aca="false">IF(ISTEXT(H34),"",(B34*$B$7/100)+(C34*$C$7/100))</f>
        <v>4.075</v>
      </c>
      <c r="Q34" s="207" t="n">
        <f aca="false">IF(OR(ISTEXT(H34),P34=0),"",IF(P34&lt;0.1,1,IF(P34&lt;1,2,IF(P34&lt;10,3,IF(P34&lt;50,4,IF(P34&gt;=50,5,""))))))</f>
        <v>3</v>
      </c>
      <c r="R34" s="207" t="n">
        <f aca="false">IF(ISERROR(Q34*I34),0,Q34*I34)</f>
        <v>36</v>
      </c>
      <c r="S34" s="207" t="n">
        <f aca="false">IF(ISERROR(Q34*I34*J34),0,Q34*I34*J34)</f>
        <v>36</v>
      </c>
      <c r="T34" s="221" t="n">
        <f aca="false">IF(ISERROR(Q34*J34),0,Q34*J34)</f>
        <v>3</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81</v>
      </c>
      <c r="B35" s="213" t="n">
        <v>0.2</v>
      </c>
      <c r="C35" s="214" t="n">
        <v>0.05</v>
      </c>
      <c r="D35" s="215" t="str">
        <f aca="false">IF(ISERROR(VLOOKUP($A35,'[1]liste reference'!$A$7:$D$906,2,0)),IF(ISERROR(VLOOKUP($A35,'[1]liste reference'!$B$7:$D$906,1,0)),"",VLOOKUP($A35,'[1]liste reference'!$B$7:$D$906,1,0)),VLOOKUP($A35,'[1]liste reference'!$A$7:$D$906,2,0))</f>
        <v>Scapania undulata</v>
      </c>
      <c r="E35" s="215" t="e">
        <f aca="false">IF(D35="",0,VLOOKUP(D35,D$22:D34,1,0))</f>
        <v>#N/A</v>
      </c>
      <c r="F35" s="225" t="n">
        <f aca="false">($B35*$B$7+$C35*$C$7)/100</f>
        <v>0.1475</v>
      </c>
      <c r="G35" s="217"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8" t="n">
        <f aca="false">IF(ISNUMBER(H35),IF(ISERROR(VLOOKUP($A35,'[1]liste reference'!$A$7:$P$906,3,0)),IF(ISERROR(VLOOKUP($A35,'[1]liste reference'!$B$7:$P$906,2,0)),"",VLOOKUP($A35,'[1]liste reference'!$B$7:$P$906,2,0)),VLOOKUP($A35,'[1]liste reference'!$A$7:$P$906,3,0)),"")</f>
        <v>17</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Scapania undulata</v>
      </c>
      <c r="L35" s="220"/>
      <c r="M35" s="220"/>
      <c r="N35" s="220"/>
      <c r="O35" s="205"/>
      <c r="P35" s="206" t="n">
        <f aca="false">IF(ISTEXT(H35),"",(B35*$B$7/100)+(C35*$C$7/100))</f>
        <v>0.1475</v>
      </c>
      <c r="Q35" s="207" t="n">
        <f aca="false">IF(OR(ISTEXT(H35),P35=0),"",IF(P35&lt;0.1,1,IF(P35&lt;1,2,IF(P35&lt;10,3,IF(P35&lt;50,4,IF(P35&gt;=50,5,""))))))</f>
        <v>2</v>
      </c>
      <c r="R35" s="207" t="n">
        <f aca="false">IF(ISERROR(Q35*I35),0,Q35*I35)</f>
        <v>34</v>
      </c>
      <c r="S35" s="207" t="n">
        <f aca="false">IF(ISERROR(Q35*I35*J35),0,Q35*I35*J35)</f>
        <v>102</v>
      </c>
      <c r="T35" s="221" t="n">
        <f aca="false">IF(ISERROR(Q35*J35),0,Q35*J35)</f>
        <v>6</v>
      </c>
      <c r="U35" s="208" t="str">
        <f aca="false">IF(AND(A35="",F35=0),"",IF(F35=0,"Il manque le(s) % de rec. !",""))</f>
        <v/>
      </c>
      <c r="V35" s="209"/>
      <c r="X35" s="207" t="str">
        <f aca="false">IF(A35="new.cod","NEW.COD",IF(AND((Y35=""),ISTEXT(A35)),A35,IF(Y35="","",INDEX('[1]liste reference'!$A$7:$A$906,Y35))))</f>
        <v>SCA.UND</v>
      </c>
      <c r="Y35" s="8" t="n">
        <f aca="false">IF(ISERROR(MATCH(A35,'[1]liste reference'!$A$7:$A$906,0)),IF(ISERROR(MATCH(A35,'[1]liste reference'!$B$7:$B$906,0)),"",(MATCH(A35,'[1]liste reference'!$B$7:$B$906,0))),(MATCH(A35,'[1]liste reference'!$A$7:$A$906,0)))</f>
        <v>145</v>
      </c>
      <c r="Z35" s="210"/>
      <c r="AA35" s="211"/>
      <c r="BB35" s="8" t="n">
        <f aca="false">IF(A35="","",1)</f>
        <v>1</v>
      </c>
    </row>
    <row r="36" customFormat="false" ht="12.75" hidden="false" customHeight="false" outlineLevel="0" collapsed="false">
      <c r="A36" s="212" t="s">
        <v>82</v>
      </c>
      <c r="B36" s="213" t="n">
        <v>0.1</v>
      </c>
      <c r="C36" s="214" t="n">
        <v>0.1</v>
      </c>
      <c r="D36" s="215" t="str">
        <f aca="false">IF(ISERROR(VLOOKUP($A36,'[1]liste reference'!$A$7:$D$906,2,0)),IF(ISERROR(VLOOKUP($A36,'[1]liste reference'!$B$7:$D$906,1,0)),"",VLOOKUP($A36,'[1]liste reference'!$B$7:$D$906,1,0)),VLOOKUP($A36,'[1]liste reference'!$A$7:$D$906,2,0))</f>
        <v>Schistidium rivulare</v>
      </c>
      <c r="E36" s="215" t="e">
        <f aca="false">IF(D36="",0,VLOOKUP(D36,D$22:D35,1,0))</f>
        <v>#N/A</v>
      </c>
      <c r="F36" s="225" t="n">
        <f aca="false">($B36*$B$7+$C36*$C$7)/100</f>
        <v>0.1</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15</v>
      </c>
      <c r="J36" s="202" t="n">
        <f aca="false">IF(ISNUMBER(H36),IF(ISERROR(VLOOKUP($A36,'[1]liste reference'!$A$7:$P$906,4,0)),IF(ISERROR(VLOOKUP($A36,'[1]liste reference'!$B$7:$P$906,3,0)),"",VLOOKUP($A36,'[1]liste reference'!$B$7:$P$906,3,0)),VLOOKUP($A36,'[1]liste reference'!$A$7:$P$906,4,0)),"")</f>
        <v>3</v>
      </c>
      <c r="K36" s="219" t="str">
        <f aca="false">IF(A36="NEW.COD",AA36,IF(ISTEXT($E36),"DEJA SAISI !",IF(A36="","",IF(ISERROR(VLOOKUP($A36,'[1]liste reference'!$A$7:$D$906,2,0)),IF(ISERROR(VLOOKUP($A36,'[1]liste reference'!$B$7:$D$906,1,0)),"code non répertorié ou synonyme",VLOOKUP($A36,'[1]liste reference'!$B$7:$D$906,1,0)),VLOOKUP(A36,'[1]liste reference'!$A$7:$D$906,2,0)))))</f>
        <v>Schistidium rivulare</v>
      </c>
      <c r="L36" s="220"/>
      <c r="M36" s="220"/>
      <c r="N36" s="220"/>
      <c r="O36" s="205"/>
      <c r="P36" s="206" t="n">
        <f aca="false">IF(ISTEXT(H36),"",(B36*$B$7/100)+(C36*$C$7/100))</f>
        <v>0.1</v>
      </c>
      <c r="Q36" s="207" t="n">
        <f aca="false">IF(OR(ISTEXT(H36),P36=0),"",IF(P36&lt;0.1,1,IF(P36&lt;1,2,IF(P36&lt;10,3,IF(P36&lt;50,4,IF(P36&gt;=50,5,""))))))</f>
        <v>2</v>
      </c>
      <c r="R36" s="207" t="n">
        <f aca="false">IF(ISERROR(Q36*I36),0,Q36*I36)</f>
        <v>30</v>
      </c>
      <c r="S36" s="207" t="n">
        <f aca="false">IF(ISERROR(Q36*I36*J36),0,Q36*I36*J36)</f>
        <v>90</v>
      </c>
      <c r="T36" s="221" t="n">
        <f aca="false">IF(ISERROR(Q36*J36),0,Q36*J36)</f>
        <v>6</v>
      </c>
      <c r="U36" s="208" t="str">
        <f aca="false">IF(AND(A36="",F36=0),"",IF(F36=0,"Il manque le(s) % de rec. !",""))</f>
        <v/>
      </c>
      <c r="V36" s="209"/>
      <c r="W36" s="209"/>
      <c r="X36" s="207" t="str">
        <f aca="false">IF(A36="new.cod","NEW.COD",IF(AND((Y36=""),ISTEXT(A36)),A36,IF(Y36="","",INDEX('[1]liste reference'!$A$7:$A$906,Y36))))</f>
        <v>SCS.RIV</v>
      </c>
      <c r="Y36" s="8" t="n">
        <f aca="false">IF(ISERROR(MATCH(A36,'[1]liste reference'!$A$7:$A$906,0)),IF(ISERROR(MATCH(A36,'[1]liste reference'!$B$7:$B$906,0)),"",(MATCH(A36,'[1]liste reference'!$B$7:$B$906,0))),(MATCH(A36,'[1]liste reference'!$A$7:$A$906,0)))</f>
        <v>256</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t="s">
        <v>83</v>
      </c>
      <c r="B38" s="213"/>
      <c r="C38" s="214" t="n">
        <v>0.04</v>
      </c>
      <c r="D38" s="215" t="str">
        <f aca="false">IF(ISERROR(VLOOKUP($A38,'[1]liste reference'!$A$7:$D$906,2,0)),IF(ISERROR(VLOOKUP($A38,'[1]liste reference'!$B$7:$D$906,1,0)),"",VLOOKUP($A38,'[1]liste reference'!$B$7:$D$906,1,0)),VLOOKUP($A38,'[1]liste reference'!$A$7:$D$906,2,0))</f>
        <v>Agrostis stolonifera</v>
      </c>
      <c r="E38" s="215" t="e">
        <f aca="false">IF(D38="",0,VLOOKUP(D38,D$22:D37,1,0))</f>
        <v>#N/A</v>
      </c>
      <c r="F38" s="225" t="n">
        <f aca="false">($B38*$B$7+$C38*$C$7)/100</f>
        <v>0.014</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Agrostis stolonifera</v>
      </c>
      <c r="L38" s="220"/>
      <c r="M38" s="220"/>
      <c r="N38" s="220"/>
      <c r="O38" s="205"/>
      <c r="P38" s="206" t="n">
        <f aca="false">IF(ISTEXT(H38),"",(B38*$B$7/100)+(C38*$C$7/100))</f>
        <v>0.014</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W38" s="209"/>
      <c r="X38" s="207" t="str">
        <f aca="false">IF(A38="new.cod","NEW.COD",IF(AND((Y38=""),ISTEXT(A38)),A38,IF(Y38="","",INDEX('[1]liste reference'!$A$7:$A$906,Y38))))</f>
        <v>AGR.STO</v>
      </c>
      <c r="Y38" s="8" t="n">
        <f aca="false">IF(ISERROR(MATCH(A38,'[1]liste reference'!$A$7:$A$906,0)),IF(ISERROR(MATCH(A38,'[1]liste reference'!$B$7:$B$906,0)),"",(MATCH(A38,'[1]liste reference'!$B$7:$B$906,0))),(MATCH(A38,'[1]liste reference'!$A$7:$A$906,0)))</f>
        <v>520</v>
      </c>
      <c r="Z38" s="210"/>
      <c r="AA38" s="211"/>
      <c r="BB38" s="8" t="n">
        <f aca="false">IF(A38="","",1)</f>
        <v>1</v>
      </c>
    </row>
    <row r="39" customFormat="false" ht="12.75" hidden="false" customHeight="false" outlineLevel="0" collapsed="false">
      <c r="A39" s="212" t="s">
        <v>84</v>
      </c>
      <c r="B39" s="213"/>
      <c r="C39" s="214" t="n">
        <v>0.04</v>
      </c>
      <c r="D39" s="215" t="str">
        <f aca="false">IF(ISERROR(VLOOKUP($A39,'[1]liste reference'!$A$7:$D$906,2,0)),IF(ISERROR(VLOOKUP($A39,'[1]liste reference'!$B$7:$D$906,1,0)),"",VLOOKUP($A39,'[1]liste reference'!$B$7:$D$906,1,0)),VLOOKUP($A39,'[1]liste reference'!$A$7:$D$906,2,0))</f>
        <v>Mentha aquatica</v>
      </c>
      <c r="E39" s="215" t="e">
        <f aca="false">IF(D39="",0,VLOOKUP(D39,D$22:D38,1,0))</f>
        <v>#N/A</v>
      </c>
      <c r="F39" s="225" t="n">
        <f aca="false">($B39*$B$7+$C39*$C$7)/100</f>
        <v>0.014</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Mentha aquatica</v>
      </c>
      <c r="L39" s="220"/>
      <c r="M39" s="220"/>
      <c r="N39" s="220"/>
      <c r="O39" s="205"/>
      <c r="P39" s="206" t="n">
        <f aca="false">IF(ISTEXT(H39),"",(B39*$B$7/100)+(C39*$C$7/100))</f>
        <v>0.014</v>
      </c>
      <c r="Q39" s="207" t="n">
        <f aca="false">IF(OR(ISTEXT(H39),P39=0),"",IF(P39&lt;0.1,1,IF(P39&lt;1,2,IF(P39&lt;10,3,IF(P39&lt;50,4,IF(P39&gt;=50,5,""))))))</f>
        <v>1</v>
      </c>
      <c r="R39" s="207" t="n">
        <f aca="false">IF(ISERROR(Q39*I39),0,Q39*I39)</f>
        <v>12</v>
      </c>
      <c r="S39" s="207" t="n">
        <f aca="false">IF(ISERROR(Q39*I39*J39),0,Q39*I39*J39)</f>
        <v>12</v>
      </c>
      <c r="T39" s="221" t="n">
        <f aca="false">IF(ISERROR(Q39*J39),0,Q39*J39)</f>
        <v>1</v>
      </c>
      <c r="U39" s="208" t="str">
        <f aca="false">IF(AND(A39="",F39=0),"",IF(F39=0,"Il manque le(s) % de rec. !",""))</f>
        <v/>
      </c>
      <c r="V39" s="226"/>
      <c r="X39" s="207" t="str">
        <f aca="false">IF(A39="new.cod","NEW.COD",IF(AND((Y39=""),ISTEXT(A39)),A39,IF(Y39="","",INDEX('[1]liste reference'!$A$7:$A$906,Y39))))</f>
        <v>MEN.AQU</v>
      </c>
      <c r="Y39" s="8" t="n">
        <f aca="false">IF(ISERROR(MATCH(A39,'[1]liste reference'!$A$7:$A$906,0)),IF(ISERROR(MATCH(A39,'[1]liste reference'!$B$7:$B$906,0)),"",(MATCH(A39,'[1]liste reference'!$B$7:$B$906,0))),(MATCH(A39,'[1]liste reference'!$A$7:$A$906,0)))</f>
        <v>613</v>
      </c>
      <c r="Z39" s="210"/>
      <c r="AA39" s="211"/>
      <c r="BB39" s="8" t="n">
        <f aca="false">IF(A39="","",1)</f>
        <v>1</v>
      </c>
    </row>
    <row r="40" customFormat="false" ht="12.75" hidden="false" customHeight="false" outlineLevel="0" collapsed="false">
      <c r="A40" s="212" t="s">
        <v>85</v>
      </c>
      <c r="B40" s="213"/>
      <c r="C40" s="214" t="n">
        <v>0.02</v>
      </c>
      <c r="D40" s="215" t="str">
        <f aca="false">IF(ISERROR(VLOOKUP($A40,'[1]liste reference'!$A$7:$D$906,2,0)),IF(ISERROR(VLOOKUP($A40,'[1]liste reference'!$B$7:$D$906,1,0)),"",VLOOKUP($A40,'[1]liste reference'!$B$7:$D$906,1,0)),VLOOKUP($A40,'[1]liste reference'!$A$7:$D$906,2,0))</f>
        <v>Ranunculus repens</v>
      </c>
      <c r="E40" s="215" t="e">
        <f aca="false">IF(D40="",0,VLOOKUP(D40,D$22:D39,1,0))</f>
        <v>#N/A</v>
      </c>
      <c r="F40" s="225" t="n">
        <f aca="false">($B40*$B$7+$C40*$C$7)/100</f>
        <v>0.007</v>
      </c>
      <c r="G40" s="217"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Ranunculus repens</v>
      </c>
      <c r="L40" s="220"/>
      <c r="M40" s="220"/>
      <c r="N40" s="220"/>
      <c r="O40" s="205"/>
      <c r="P40" s="206" t="n">
        <f aca="false">IF(ISTEXT(H40),"",(B40*$B$7/100)+(C40*$C$7/100))</f>
        <v>0.007</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RAN.REP</v>
      </c>
      <c r="Y40" s="8" t="n">
        <f aca="false">IF(ISERROR(MATCH(A40,'[1]liste reference'!$A$7:$A$906,0)),IF(ISERROR(MATCH(A40,'[1]liste reference'!$B$7:$B$906,0)),"",(MATCH(A40,'[1]liste reference'!$B$7:$B$906,0))),(MATCH(A40,'[1]liste reference'!$A$7:$A$906,0)))</f>
        <v>810</v>
      </c>
      <c r="Z40" s="210"/>
      <c r="AA40" s="211"/>
      <c r="BB40" s="8" t="n">
        <f aca="false">IF(A40="","",1)</f>
        <v>1</v>
      </c>
    </row>
    <row r="41" customFormat="false" ht="12.75" hidden="false" customHeight="false" outlineLevel="0" collapsed="false">
      <c r="A41" s="212" t="s">
        <v>86</v>
      </c>
      <c r="B41" s="213"/>
      <c r="C41" s="214" t="n">
        <v>0.02</v>
      </c>
      <c r="D41" s="215" t="str">
        <f aca="false">IF(ISERROR(VLOOKUP($A41,'[1]liste reference'!$A$7:$D$906,2,0)),IF(ISERROR(VLOOKUP($A41,'[1]liste reference'!$B$7:$D$906,1,0)),"",VLOOKUP($A41,'[1]liste reference'!$B$7:$D$906,1,0)),VLOOKUP($A41,'[1]liste reference'!$A$7:$D$906,2,0))</f>
        <v>Veronica beccabunga</v>
      </c>
      <c r="E41" s="215" t="e">
        <f aca="false">IF(D41="",0,VLOOKUP(D41,D$22:D40,1,0))</f>
        <v>#N/A</v>
      </c>
      <c r="F41" s="225" t="n">
        <f aca="false">($B41*$B$7+$C41*$C$7)/100</f>
        <v>0.007</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Veronica beccabunga</v>
      </c>
      <c r="L41" s="220"/>
      <c r="M41" s="220"/>
      <c r="N41" s="220"/>
      <c r="O41" s="205"/>
      <c r="P41" s="206" t="n">
        <f aca="false">IF(ISTEXT(H41),"",(B41*$B$7/100)+(C41*$C$7/100))</f>
        <v>0.007</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VER.BEC</v>
      </c>
      <c r="Y41" s="8" t="n">
        <f aca="false">IF(ISERROR(MATCH(A41,'[1]liste reference'!$A$7:$A$906,0)),IF(ISERROR(MATCH(A41,'[1]liste reference'!$B$7:$B$906,0)),"",(MATCH(A41,'[1]liste reference'!$B$7:$B$906,0))),(MATCH(A41,'[1]liste reference'!$A$7:$A$906,0)))</f>
        <v>690</v>
      </c>
      <c r="Z41" s="210"/>
      <c r="AA41" s="211"/>
      <c r="BB41" s="8" t="n">
        <f aca="false">IF(A41="","",1)</f>
        <v>1</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87</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DORE</v>
      </c>
      <c r="B84" s="245" t="str">
        <f aca="false">C3</f>
        <v>Dore l'église / amont pont Verdelet</v>
      </c>
      <c r="C84" s="246" t="n">
        <f aca="false">A4</f>
        <v>39283</v>
      </c>
      <c r="D84" s="247" t="n">
        <f aca="false">IF(ISERROR(SUM($S$23:$S$82)/SUM($T$23:$T$82)),"",SUM($S$23:$S$82)/SUM($T$23:$T$82))</f>
        <v>14.4716981132075</v>
      </c>
      <c r="E84" s="248" t="n">
        <f aca="false">N13</f>
        <v>16</v>
      </c>
      <c r="F84" s="245" t="n">
        <f aca="false">N14</f>
        <v>15</v>
      </c>
      <c r="G84" s="245" t="n">
        <f aca="false">N15</f>
        <v>5</v>
      </c>
      <c r="H84" s="245" t="n">
        <f aca="false">N16</f>
        <v>6</v>
      </c>
      <c r="I84" s="245" t="n">
        <f aca="false">N17</f>
        <v>4</v>
      </c>
      <c r="J84" s="249" t="n">
        <f aca="false">N8</f>
        <v>13.3333333333333</v>
      </c>
      <c r="K84" s="247" t="n">
        <f aca="false">N9</f>
        <v>2.35027860557201</v>
      </c>
      <c r="L84" s="248" t="n">
        <f aca="false">N10</f>
        <v>10</v>
      </c>
      <c r="M84" s="248" t="n">
        <f aca="false">N11</f>
        <v>17</v>
      </c>
      <c r="N84" s="247" t="n">
        <f aca="false">O8</f>
        <v>1.93333333333333</v>
      </c>
      <c r="O84" s="247" t="n">
        <f aca="false">O9</f>
        <v>0.79880863671798</v>
      </c>
      <c r="P84" s="248" t="n">
        <f aca="false">O10</f>
        <v>1</v>
      </c>
      <c r="Q84" s="248" t="n">
        <f aca="false">O11</f>
        <v>3</v>
      </c>
      <c r="R84" s="250" t="n">
        <f aca="false">F21</f>
        <v>10.0765</v>
      </c>
      <c r="S84" s="248" t="n">
        <f aca="false">K11</f>
        <v>0</v>
      </c>
      <c r="T84" s="248" t="n">
        <f aca="false">K12</f>
        <v>3</v>
      </c>
      <c r="U84" s="248" t="n">
        <f aca="false">K13</f>
        <v>8</v>
      </c>
      <c r="V84" s="251" t="n">
        <f aca="false">K14</f>
        <v>0</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88</v>
      </c>
      <c r="Q86" s="8"/>
      <c r="R86" s="208"/>
      <c r="S86" s="8"/>
      <c r="T86" s="8"/>
      <c r="U86" s="8"/>
    </row>
    <row r="87" customFormat="false" ht="12.75" hidden="true" customHeight="false" outlineLevel="0" collapsed="false">
      <c r="P87" s="8" t="s">
        <v>89</v>
      </c>
      <c r="Q87" s="8"/>
      <c r="R87" s="208" t="n">
        <f aca="false">VLOOKUP(MAX($R$23:$R$82),($R$23:$T$82),1,0)</f>
        <v>48</v>
      </c>
      <c r="S87" s="8"/>
      <c r="T87" s="8"/>
      <c r="U87" s="8"/>
    </row>
    <row r="88" customFormat="false" ht="12.75" hidden="true" customHeight="false" outlineLevel="0" collapsed="false">
      <c r="P88" s="8" t="s">
        <v>90</v>
      </c>
      <c r="Q88" s="8"/>
      <c r="R88" s="208" t="n">
        <f aca="false">VLOOKUP((R87),($R$23:$T$82),2,0)</f>
        <v>144</v>
      </c>
      <c r="S88" s="8"/>
      <c r="T88" s="8"/>
      <c r="U88" s="8"/>
    </row>
    <row r="89" customFormat="false" ht="12.75" hidden="true" customHeight="false" outlineLevel="0" collapsed="false">
      <c r="P89" s="8" t="s">
        <v>91</v>
      </c>
      <c r="Q89" s="8"/>
      <c r="R89" s="208" t="n">
        <f aca="false">VLOOKUP((R87),($R$23:$T$82),3,0)</f>
        <v>9</v>
      </c>
      <c r="S89" s="8"/>
    </row>
    <row r="90" customFormat="false" ht="12.75" hidden="true" customHeight="false" outlineLevel="0" collapsed="false">
      <c r="P90" s="8" t="s">
        <v>92</v>
      </c>
      <c r="Q90" s="8"/>
      <c r="R90" s="254" t="n">
        <f aca="false">IF(ISERROR(SUM($S$23:$S$82)/SUM($T$23:$T$82)),"",(SUM($S$23:$S$82)-R88)/(SUM($T$23:$T$82)-R89))</f>
        <v>14.1590909090909</v>
      </c>
      <c r="S90" s="8"/>
    </row>
    <row r="91" customFormat="false" ht="12.75" hidden="true" customHeight="false" outlineLevel="0" collapsed="false">
      <c r="P91" s="207" t="s">
        <v>93</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94</v>
      </c>
      <c r="Q92" s="8"/>
      <c r="R92" s="8" t="n">
        <f aca="false">MATCH(R87,$R$23:$R$82,0)</f>
        <v>11</v>
      </c>
      <c r="S92" s="8"/>
    </row>
    <row r="93" customFormat="false" ht="12.75" hidden="true" customHeight="false" outlineLevel="0" collapsed="false">
      <c r="P93" s="207" t="s">
        <v>95</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