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re_04036300" sheetId="1" state="visible" r:id="rId3"/>
  </sheets>
  <definedNames>
    <definedName function="false" hidden="false" localSheetId="0" name="Excel_BuiltIn_Print_Area" vbProcedure="false">Dore_04036300!$A$1:$O$37</definedName>
    <definedName function="false" hidden="false" localSheetId="0" name="Excel_BuiltIn__FilterDatabase" vbProcedure="false">Dore_04036300!$A$23:$J$84</definedName>
    <definedName function="false" hidden="false" localSheetId="0" name="NOM" vbProcedure="false">Dore_04036300!$H$1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<sst xmlns="http://schemas.openxmlformats.org/spreadsheetml/2006/main" count="100" uniqueCount="95">
  <si>
    <t xml:space="preserve">Relevés floristiques aquatiques - IBMR</t>
  </si>
  <si>
    <t xml:space="preserve">Formulaire modèle GIS Macrophytes v_3.3 -mai 2012</t>
  </si>
  <si>
    <t xml:space="preserve">CARICAIE</t>
  </si>
  <si>
    <t xml:space="preserve">conforme AFNOR T90-395 oct. 2003</t>
  </si>
  <si>
    <t xml:space="preserve">DORE</t>
  </si>
  <si>
    <t xml:space="preserve">DORE L'EGLISE</t>
  </si>
  <si>
    <t xml:space="preserve">04036300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</si>
  <si>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</si>
  <si>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</si>
  <si>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</si>
  <si>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</si>
  <si>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</si>
  <si>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</si>
  <si>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</si>
  <si>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</si>
  <si>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</si>
  <si>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</si>
  <si>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</si>
  <si>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</si>
  <si>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</si>
  <si>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</si>
  <si>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</si>
  <si>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</si>
  <si>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</si>
  <si>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</si>
  <si>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</si>
  <si>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</si>
  <si>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</si>
  <si>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</si>
  <si>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</si>
  <si>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</si>
  <si>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</si>
  <si>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</si>
  <si>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</si>
  <si>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</si>
  <si>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</si>
  <si>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</si>
  <si>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</si>
  <si>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</si>
  <si>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</si>
  <si>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</si>
  <si>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</si>
  <si>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</si>
  <si>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</si>
  <si>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</si>
  <si>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</si>
  <si>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</si>
  <si>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</si>
  <si>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</si>
  <si>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</si>
  <si>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</si>
  <si>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</si>
  <si>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</si>
  <si>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</si>
  <si>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</si>
  <si>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</si>
  <si>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</si>
  <si>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</si>
  <si>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(12.602 %)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</si>
  <si>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</si>
  <si>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</si>
  <si>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</si>
  <si>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</si>
  <si>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</si>
  <si>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</si>
  <si>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</si>
  <si>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</si>
  <si>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</si>
  <si>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</si>
  <si>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</si>
  <si>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</si>
  <si>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</si>
  <si>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</si>
  <si>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</si>
  <si>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</si>
  <si>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</si>
  <si>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</si>
  <si>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</si>
  <si>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CHIPOL</t>
  </si>
  <si>
    <t xml:space="preserve">PELEND</t>
  </si>
  <si>
    <t xml:space="preserve">AMBFLU</t>
  </si>
  <si>
    <t xml:space="preserve">AMBRIP</t>
  </si>
  <si>
    <t xml:space="preserve">FISCRA</t>
  </si>
  <si>
    <t xml:space="preserve">FONANT</t>
  </si>
  <si>
    <t xml:space="preserve">FONSQU</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</si>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</sst>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41107</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12.4242424242424</v>
      </c>
      <c r="M5" s="52"/>
      <c r="N5" s="53"/>
      <c r="O5" s="54" t="n">
        <v>11.0833333333333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90</v>
      </c>
      <c r="C7" s="67" t="n">
        <v>10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14</v>
      </c>
      <c r="C9" s="86" t="n">
        <v>0.02</v>
      </c>
      <c r="D9" s="87"/>
      <c r="E9" s="87"/>
      <c r="F9" s="88" t="n">
        <f aca="false">($B9*$B$7+$C9*$C$7)/100</f>
        <v>12.602</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v>
      </c>
      <c r="C12" s="117" t="n">
        <v>0</v>
      </c>
      <c r="D12" s="109"/>
      <c r="E12" s="109"/>
      <c r="F12" s="110" t="n">
        <f aca="false">($B12*$B$7+$C12*$C$7)/100</f>
        <v>0</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14</v>
      </c>
      <c r="C13" s="117" t="n">
        <v>0.02</v>
      </c>
      <c r="D13" s="109"/>
      <c r="E13" s="109"/>
      <c r="F13" s="110" t="n">
        <f aca="false">($B13*$B$7+$C13*$C$7)/100</f>
        <v>12.602</v>
      </c>
      <c r="G13" s="118"/>
      <c r="H13" s="68"/>
      <c r="I13" s="119" t="s">
        <v>39</v>
      </c>
      <c r="J13" s="119"/>
      <c r="K13" s="113" t="n">
        <f aca="false">COUNTIF($G$23:$G$82,"=BRm")+COUNTIF($G$23:$G$82,"=BRh")</f>
        <v>0</v>
      </c>
      <c r="L13" s="114"/>
      <c r="M13" s="125" t="s">
        <v>40</v>
      </c>
      <c r="N13" s="126" t="n">
        <f aca="false">COUNTIF(F23:F82,"&gt;0")</f>
        <v>8</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v>
      </c>
      <c r="C15" s="134" t="n">
        <v>0</v>
      </c>
      <c r="D15" s="109"/>
      <c r="E15" s="109"/>
      <c r="F15" s="110" t="n">
        <f aca="false">($B15*$B$7+$C15*$C$7)/100</f>
        <v>0</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14</v>
      </c>
      <c r="C17" s="117" t="n">
        <v>0.02</v>
      </c>
      <c r="D17" s="109"/>
      <c r="E17" s="109"/>
      <c r="F17" s="141" t="n">
        <f aca="false">($B17*$B$7+$C17*$C$7)/100</f>
        <v>12.602</v>
      </c>
      <c r="G17" s="110" t="n">
        <f aca="false">($B17*$B$7+$C17*$C$7)/100</f>
        <v>12.602</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v>
      </c>
      <c r="D18" s="109"/>
      <c r="E18" s="145" t="s">
        <v>52</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12.602</v>
      </c>
      <c r="G19" s="154" t="n">
        <f aca="false">SUM(G16:G18)</f>
        <v>12.602</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14</v>
      </c>
      <c r="C20" s="164" t="n">
        <f aca="false">SUM(C23:C82)</f>
        <v>0.02</v>
      </c>
      <c r="D20" s="165"/>
      <c r="E20" s="166" t="s">
        <v>52</v>
      </c>
      <c r="F20" s="167" t="n">
        <f aca="false">($B20*$B$7+$C20*$C$7)/100</f>
        <v>12.602</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12.6</v>
      </c>
      <c r="C21" s="177" t="n">
        <f aca="false">C20*C7/100</f>
        <v>0.002</v>
      </c>
      <c r="D21" s="109" t="str">
        <f aca="false">IF(F21=0,"",IF((ABS(F21-F19))&gt;(0.2*F21),CONCATENATE(" rec. par taxa (",F21," %) supérieur à 20 % !"),""))</f>
        <v/>
      </c>
      <c r="E21" s="178" t="str">
        <f aca="false">IF(F21=0,"",IF((ABS(F21-F19))&gt;(0.2*F21),CONCATENATE("ATTENTION : écart entre rec. par grp (",F19," %) ","et",""),""))</f>
        <v/>
      </c>
      <c r="F21" s="179" t="n">
        <f aca="false">B21+C21</f>
        <v>12.602</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2</v>
      </c>
      <c r="C23" s="203"/>
      <c r="D23" s="204" t="str">
        <f aca="false">IF(ISERROR(VLOOKUP($A23,,2,0)),IF(ISERROR(VLOOKUP($A23,,1,0)),"",VLOOKUP($A23,,1,0)),VLOOKUP($A23,,2,0))</f>
        <v/>
      </c>
      <c r="E23" s="205" t="n">
        <f aca="false">IF(D23="",0,VLOOKUP(D23,D$22:D22,1,0))</f>
        <v>0</v>
      </c>
      <c r="F23" s="206" t="n">
        <f aca="false">($B23*$B$7+$C23*$C$7)/100</f>
        <v>1.8</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6</v>
      </c>
      <c r="W23" s="217"/>
      <c r="Y23" s="215" t="str">
        <f aca="false">IF(A23="new.cod","NEWCOD",IF(AND((Z23=""),ISTEXT(A23)),A23,IF(Z23="","",INDEX(,Z23))))</f>
        <v>CHIPOL</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c r="C24" s="203" t="n">
        <v>0.01</v>
      </c>
      <c r="D24" s="204" t="str">
        <f aca="false">IF(ISERROR(VLOOKUP($A24,,2,0)),IF(ISERROR(VLOOKUP($A24,,1,0)),"",VLOOKUP($A24,,1,0)),VLOOKUP($A24,,2,0))</f>
        <v/>
      </c>
      <c r="E24" s="205" t="n">
        <f aca="false">IF(D24="",0,VLOOKUP(D24,D$22:D23,1,0))</f>
        <v>0</v>
      </c>
      <c r="F24" s="206" t="n">
        <f aca="false">($B24*$B$7+$C24*$C$7)/100</f>
        <v>0.001</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0</v>
      </c>
      <c r="W24" s="217"/>
      <c r="Y24" s="215" t="str">
        <f aca="false">IF(A24="new.cod","NEWCOD",IF(AND((Z24=""),ISTEXT(A24)),A24,IF(Z24="","",INDEX(,Z24))))</f>
        <v>PELEND</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t="n">
        <v>3</v>
      </c>
      <c r="C25" s="203"/>
      <c r="D25" s="204" t="str">
        <f aca="false">IF(ISERROR(VLOOKUP($A25,,2,0)),IF(ISERROR(VLOOKUP($A25,,1,0)),"",VLOOKUP($A25,,1,0)),VLOOKUP($A25,,2,0))</f>
        <v/>
      </c>
      <c r="E25" s="205" t="n">
        <f aca="false">IF(D25="",0,VLOOKUP(D25,D$22:D24,1,0))</f>
        <v>0</v>
      </c>
      <c r="F25" s="206" t="n">
        <f aca="false">($B25*$B$7+$C25*$C$7)/100</f>
        <v>2.7</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6</v>
      </c>
      <c r="W25" s="217"/>
      <c r="Y25" s="215" t="str">
        <f aca="false">IF(A25="new.cod","NEWCOD",IF(AND((Z25=""),ISTEXT(A25)),A25,IF(Z25="","",INDEX(,Z25))))</f>
        <v>AMBFLU</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t="n">
        <v>1</v>
      </c>
      <c r="C26" s="203"/>
      <c r="D26" s="204" t="str">
        <f aca="false">IF(ISERROR(VLOOKUP($A26,,2,0)),IF(ISERROR(VLOOKUP($A26,,1,0)),"",VLOOKUP($A26,,1,0)),VLOOKUP($A26,,2,0))</f>
        <v/>
      </c>
      <c r="E26" s="205" t="n">
        <f aca="false">IF(D26="",0,VLOOKUP(D26,D$22:D25,1,0))</f>
        <v>0</v>
      </c>
      <c r="F26" s="206" t="n">
        <f aca="false">($B26*$B$7+$C26*$C$7)/100</f>
        <v>0.9</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4</v>
      </c>
      <c r="W26" s="217"/>
      <c r="Y26" s="215" t="str">
        <f aca="false">IF(A26="new.cod","NEWCOD",IF(AND((Z26=""),ISTEXT(A26)),A26,IF(Z26="","",INDEX(,Z26))))</f>
        <v>AMBRIP</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c r="C27" s="203" t="n">
        <v>0.01</v>
      </c>
      <c r="D27" s="204" t="str">
        <f aca="false">IF(ISERROR(VLOOKUP($A27,,2,0)),IF(ISERROR(VLOOKUP($A27,,1,0)),"",VLOOKUP($A27,,1,0)),VLOOKUP($A27,,2,0))</f>
        <v/>
      </c>
      <c r="E27" s="205" t="n">
        <f aca="false">IF(D27="",0,VLOOKUP(D27,D$22:D26,1,0))</f>
        <v>0</v>
      </c>
      <c r="F27" s="206" t="n">
        <f aca="false">($B27*$B$7+$C27*$C$7)/100</f>
        <v>0.001</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IF(A27="new.cod","NEWCOD",IF(AND((Z27=""),ISTEXT(A27)),A27,IF(Z27="","",INDEX(,Z27))))</f>
        <v>FISCRA</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t="n">
        <v>2</v>
      </c>
      <c r="C28" s="203"/>
      <c r="D28" s="204" t="str">
        <f aca="false">IF(ISERROR(VLOOKUP($A28,,2,0)),IF(ISERROR(VLOOKUP($A28,,1,0)),"",VLOOKUP($A28,,1,0)),VLOOKUP($A28,,2,0))</f>
        <v/>
      </c>
      <c r="E28" s="205" t="n">
        <f aca="false">IF(D28="",0,VLOOKUP(D28,D$22:D27,1,0))</f>
        <v>0</v>
      </c>
      <c r="F28" s="206" t="n">
        <f aca="false">($B28*$B$7+$C28*$C$7)/100</f>
        <v>1.8</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3</v>
      </c>
      <c r="W28" s="221"/>
      <c r="Y28" s="215" t="str">
        <f aca="false">IF(A28="new.cod","NEWCOD",IF(AND((Z28=""),ISTEXT(A28)),A28,IF(Z28="","",INDEX(,Z28))))</f>
        <v>FONANT</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2</v>
      </c>
      <c r="C29" s="203"/>
      <c r="D29" s="204" t="str">
        <f aca="false">IF(ISERROR(VLOOKUP($A29,,2,0)),IF(ISERROR(VLOOKUP($A29,,1,0)),"",VLOOKUP($A29,,1,0)),VLOOKUP($A29,,2,0))</f>
        <v/>
      </c>
      <c r="E29" s="205" t="n">
        <f aca="false">IF(D29="",0,VLOOKUP(D29,D$22:D28,1,0))</f>
        <v>0</v>
      </c>
      <c r="F29" s="206" t="n">
        <f aca="false">($B29*$B$7+$C29*$C$7)/100</f>
        <v>1.8</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9</v>
      </c>
      <c r="W29" s="217"/>
      <c r="Y29" s="215" t="str">
        <f aca="false">IF(A29="new.cod","NEWCOD",IF(AND((Z29=""),ISTEXT(A29)),A29,IF(Z29="","",INDEX(,Z29))))</f>
        <v>FONSQU</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t="n">
        <v>4</v>
      </c>
      <c r="C30" s="203"/>
      <c r="D30" s="204" t="str">
        <f aca="false">IF(ISERROR(VLOOKUP($A30,,2,0)),IF(ISERROR(VLOOKUP($A30,,1,0)),"",VLOOKUP($A30,,1,0)),VLOOKUP($A30,,2,0))</f>
        <v/>
      </c>
      <c r="E30" s="205" t="n">
        <f aca="false">IF(D30="",0,VLOOKUP(D30,D$22:D29,1,0))</f>
        <v>0</v>
      </c>
      <c r="F30" s="206" t="n">
        <f aca="false">($B30*$B$7+$C30*$C$7)/100</f>
        <v>3.6</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3</v>
      </c>
      <c r="W30" s="217"/>
      <c r="Y30" s="215" t="str">
        <f aca="false">IF(A30="new.cod","NEWCOD",IF(AND((Z30=""),ISTEXT(A30)),A30,IF(Z30="","",INDEX(,Z30))))</f>
        <v>RHYRIP</v>
      </c>
      <c r="Z30" s="9" t="str">
        <f aca="false">IF(ISERROR(MATCH(A30,,0)),IF(ISERROR(MATCH(A30,,0)),"",(MATCH(A30,,0))),(MATCH(A30,,0)))</f>
        <v/>
      </c>
      <c r="AA30" s="218"/>
      <c r="AB30" s="219"/>
      <c r="AC30" s="219"/>
      <c r="BC30" s="9" t="n">
        <f aca="false">IF(A30="","",1)</f>
        <v>1</v>
      </c>
    </row>
    <row r="31" customFormat="false" ht="12.75" hidden="false" customHeight="false" outlineLevel="0" collapsed="false">
      <c r="A31" s="201"/>
      <c r="B31" s="202"/>
      <c r="C31" s="203"/>
      <c r="D31" s="204" t="str">
        <f aca="false">IF(ISERROR(VLOOKUP($A31,,2,0)),IF(ISERROR(VLOOKUP($A31,,1,0)),"",VLOOKUP($A31,,1,0)),VLOOKUP($A31,,2,0))</f>
        <v/>
      </c>
      <c r="E31" s="205" t="n">
        <f aca="false">IF(D31="",0,VLOOKUP(D31,D$22:D30,1,0))</f>
        <v>0</v>
      </c>
      <c r="F31" s="206" t="n">
        <f aca="false">($B31*$B$7+$C31*$C$7)/100</f>
        <v>0</v>
      </c>
      <c r="G31" s="207" t="str">
        <f aca="false">IF(A31="","",IF(ISERROR(VLOOKUP($A31,,13,0)),IF(ISERROR(VLOOKUP($A31,,12,0)),"    -",VLOOKUP($A31,,12,0)),VLOOKUP($A31,,13,0)))</f>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IF(A31="new.cod","NEWCOD",IF(AND((Z31=""),ISTEXT(A31)),A31,IF(Z31="","",INDEX(,Z31))))</f>
        <v/>
      </c>
      <c r="Z31" s="9" t="str">
        <f aca="false">IF(ISERROR(MATCH(A31,,0)),IF(ISERROR(MATCH(A31,,0)),"",(MATCH(A31,,0))),(MATCH(A31,,0)))</f>
        <v/>
      </c>
      <c r="AA31" s="218"/>
      <c r="AB31" s="219"/>
      <c r="AC31" s="219"/>
      <c r="BC31" s="9" t="str">
        <f aca="false">IF(A31="","",1)</f>
        <v/>
      </c>
    </row>
    <row r="32" customFormat="false" ht="12.75" hidden="false" customHeight="false" outlineLevel="0" collapsed="false">
      <c r="A32" s="201"/>
      <c r="B32" s="202"/>
      <c r="C32" s="203"/>
      <c r="D32" s="204" t="str">
        <f aca="false">IF(ISERROR(VLOOKUP($A32,,2,0)),IF(ISERROR(VLOOKUP($A32,,1,0)),"",VLOOKUP($A32,,1,0)),VLOOKUP($A32,,2,0))</f>
        <v/>
      </c>
      <c r="E32" s="205" t="n">
        <f aca="false">IF(D32="",0,VLOOKUP(D32,D$22:D31,1,0))</f>
        <v>0</v>
      </c>
      <c r="F32" s="206" t="n">
        <f aca="false">($B32*$B$7+$C32*$C$7)/100</f>
        <v>0</v>
      </c>
      <c r="G32" s="207" t="str">
        <f aca="false">IF(A32="","",IF(ISERROR(VLOOKUP($A32,,13,0)),IF(ISERROR(VLOOKUP($A32,,12,0)),"    -",VLOOKUP($A32,,12,0)),VLOOKUP($A32,,13,0)))</f>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IF(A32="new.cod","NEWCOD",IF(AND((Z32=""),ISTEXT(A32)),A32,IF(Z32="","",INDEX(,Z32))))</f>
        <v/>
      </c>
      <c r="Z32" s="9" t="str">
        <f aca="false">IF(ISERROR(MATCH(A32,,0)),IF(ISERROR(MATCH(A32,,0)),"",(MATCH(A32,,0))),(MATCH(A32,,0)))</f>
        <v/>
      </c>
      <c r="AA32" s="218"/>
      <c r="AB32" s="219"/>
      <c r="AC32" s="219"/>
      <c r="BC32" s="9" t="str">
        <f aca="false">IF(A32="","",1)</f>
        <v/>
      </c>
    </row>
    <row r="33" customFormat="false" ht="12.75" hidden="false" customHeight="false" outlineLevel="0" collapsed="false">
      <c r="A33" s="201"/>
      <c r="B33" s="202"/>
      <c r="C33" s="203"/>
      <c r="D33" s="204" t="str">
        <f aca="false">IF(ISERROR(VLOOKUP($A33,,2,0)),IF(ISERROR(VLOOKUP($A33,,1,0)),"",VLOOKUP($A33,,1,0)),VLOOKUP($A33,,2,0))</f>
        <v/>
      </c>
      <c r="E33" s="205" t="n">
        <f aca="false">IF(D33="",0,VLOOKUP(D33,D$22:D32,1,0))</f>
        <v>0</v>
      </c>
      <c r="F33" s="206" t="n">
        <f aca="false">($B33*$B$7+$C33*$C$7)/100</f>
        <v>0</v>
      </c>
      <c r="G33" s="207" t="str">
        <f aca="false">IF(A33="","",IF(ISERROR(VLOOKUP($A33,,13,0)),IF(ISERROR(VLOOKUP($A33,,12,0)),"    -",VLOOKUP($A33,,12,0)),VLOOKUP($A33,,13,0)))</f>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IF(A33="new.cod","NEWCOD",IF(AND((Z33=""),ISTEXT(A33)),A33,IF(Z33="","",INDEX(,Z33))))</f>
        <v/>
      </c>
      <c r="Z33" s="9" t="str">
        <f aca="false">IF(ISERROR(MATCH(A33,,0)),IF(ISERROR(MATCH(A33,,0)),"",(MATCH(A33,,0))),(MATCH(A33,,0)))</f>
        <v/>
      </c>
      <c r="AA33" s="218"/>
      <c r="AB33" s="219"/>
      <c r="AC33" s="219"/>
      <c r="BC33" s="9" t="str">
        <f aca="false">IF(A33="","",1)</f>
        <v/>
      </c>
    </row>
    <row r="34" customFormat="false" ht="12.75" hidden="false" customHeight="false" outlineLevel="0" collapsed="false">
      <c r="A34" s="201"/>
      <c r="B34" s="202"/>
      <c r="C34" s="203"/>
      <c r="D34" s="204" t="str">
        <f aca="false">IF(ISERROR(VLOOKUP($A34,,2,0)),IF(ISERROR(VLOOKUP($A34,,1,0)),"",VLOOKUP($A34,,1,0)),VLOOKUP($A34,,2,0))</f>
        <v/>
      </c>
      <c r="E34" s="205" t="n">
        <f aca="false">IF(D34="",0,VLOOKUP(D34,D$22:D33,1,0))</f>
        <v>0</v>
      </c>
      <c r="F34" s="206" t="n">
        <f aca="false">($B34*$B$7+$C34*$C$7)/100</f>
        <v>0</v>
      </c>
      <c r="G34" s="207" t="str">
        <f aca="false">IF(A34="","",IF(ISERROR(VLOOKUP($A34,,13,0)),IF(ISERROR(VLOOKUP($A34,,12,0)),"    -",VLOOKUP($A34,,12,0)),VLOOKUP($A34,,13,0)))</f>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
      </c>
      <c r="Z34" s="9" t="str">
        <f aca="false">IF(ISERROR(MATCH(A34,,0)),IF(ISERROR(MATCH(A34,,0)),"",(MATCH(A34,,0))),(MATCH(A34,,0)))</f>
        <v/>
      </c>
      <c r="AA34" s="218"/>
      <c r="AB34" s="219"/>
      <c r="AC34" s="219"/>
      <c r="BC34" s="9" t="str">
        <f aca="false">IF(A34="","",1)</f>
        <v/>
      </c>
    </row>
    <row r="35" customFormat="false" ht="12.75" hidden="false" customHeight="false" outlineLevel="0" collapsed="false">
      <c r="A35" s="201"/>
      <c r="B35" s="202"/>
      <c r="C35" s="203"/>
      <c r="D35" s="204" t="str">
        <f aca="false">IF(ISERROR(VLOOKUP($A35,,2,0)),IF(ISERROR(VLOOKUP($A35,,1,0)),"",VLOOKUP($A35,,1,0)),VLOOKUP($A35,,2,0))</f>
        <v/>
      </c>
      <c r="E35" s="205" t="n">
        <f aca="false">IF(D35="",0,VLOOKUP(D35,D$22:D34,1,0))</f>
        <v>0</v>
      </c>
      <c r="F35" s="206" t="n">
        <f aca="false">($B35*$B$7+$C35*$C$7)/100</f>
        <v>0</v>
      </c>
      <c r="G35" s="207" t="str">
        <f aca="false">IF(A35="","",IF(ISERROR(VLOOKUP($A35,,13,0)),IF(ISERROR(VLOOKUP($A35,,12,0)),"    -",VLOOKUP($A35,,12,0)),VLOOKUP($A35,,13,0)))</f>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IF(A35="new.cod","NEWCOD",IF(AND((Z35=""),ISTEXT(A35)),A35,IF(Z35="","",INDEX(,Z35))))</f>
        <v/>
      </c>
      <c r="Z35" s="9" t="str">
        <f aca="false">IF(ISERROR(MATCH(A35,,0)),IF(ISERROR(MATCH(A35,,0)),"",(MATCH(A35,,0))),(MATCH(A35,,0)))</f>
        <v/>
      </c>
      <c r="AA35" s="218"/>
      <c r="AB35" s="219"/>
      <c r="AC35" s="219"/>
      <c r="BC35" s="9" t="str">
        <f aca="false">IF(A35="","",1)</f>
        <v/>
      </c>
    </row>
    <row r="36" customFormat="false" ht="12.75" hidden="false" customHeight="false" outlineLevel="0" collapsed="false">
      <c r="A36" s="201"/>
      <c r="B36" s="202"/>
      <c r="C36" s="203"/>
      <c r="D36" s="204" t="str">
        <f aca="false">IF(ISERROR(VLOOKUP($A36,,2,0)),IF(ISERROR(VLOOKUP($A36,,1,0)),"",VLOOKUP($A36,,1,0)),VLOOKUP($A36,,2,0))</f>
        <v/>
      </c>
      <c r="E36" s="205" t="n">
        <f aca="false">IF(D36="",0,VLOOKUP(D36,D$22:D35,1,0))</f>
        <v>0</v>
      </c>
      <c r="F36" s="206" t="n">
        <f aca="false">($B36*$B$7+$C36*$C$7)/100</f>
        <v>0</v>
      </c>
      <c r="G36" s="207" t="str">
        <f aca="false">IF(A36="","",IF(ISERROR(VLOOKUP($A36,,13,0)),IF(ISERROR(VLOOKUP($A36,,12,0)),"    -",VLOOKUP($A36,,12,0)),VLOOKUP($A36,,13,0)))</f>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IF(A36="new.cod","NEWCOD",IF(AND((Z36=""),ISTEXT(A36)),A36,IF(Z36="","",INDEX(,Z36))))</f>
        <v/>
      </c>
      <c r="Z36" s="9" t="str">
        <f aca="false">IF(ISERROR(MATCH(A36,,0)),IF(ISERROR(MATCH(A36,,0)),"",(MATCH(A36,,0))),(MATCH(A36,,0)))</f>
        <v/>
      </c>
      <c r="AA36" s="218"/>
      <c r="AB36" s="219"/>
      <c r="AC36" s="219"/>
      <c r="BC36" s="9" t="str">
        <f aca="false">IF(A36="","",1)</f>
        <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IF(D39="",0,VLOOKUP(D39,D$22:D38,1,0))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IF(D45="",0,VLOOKUP(D45,D$22:D38,1,0))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IF(D46="",0,VLOOKUP(D46,D$22:D38,1,0))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IF(D47="",0,VLOOKUP(D47,D$22:D39,1,0))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IF(D56="",0,VLOOKUP(D56,D$21:D55,1,0))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2"/>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23"/>
      <c r="M58" s="223"/>
      <c r="N58" s="223"/>
      <c r="O58" s="224"/>
      <c r="P58" s="224"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23"/>
      <c r="M59" s="223"/>
      <c r="N59" s="223"/>
      <c r="O59" s="224"/>
      <c r="P59" s="224"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X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86</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DORE</v>
      </c>
      <c r="B84" s="243" t="str">
        <f aca="false">C3</f>
        <v>DORE L'EGLISE</v>
      </c>
      <c r="C84" s="244" t="n">
        <f aca="false">A4</f>
        <v>41107</v>
      </c>
      <c r="D84" s="245" t="str">
        <f aca="false">IF(ISERROR(SUM($T$23:$T$82)/SUM($U$23:$U$82)),"",SUM($T$23:$T$82)/SUM($U$23:$U$82))</f>
        <v/>
      </c>
      <c r="E84" s="246" t="n">
        <f aca="false">N13</f>
        <v>8</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12.602</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87</v>
      </c>
      <c r="R86" s="9"/>
      <c r="S86" s="216"/>
      <c r="T86" s="9"/>
      <c r="U86" s="9"/>
      <c r="V86" s="9"/>
    </row>
    <row r="87" customFormat="false" ht="12.75" hidden="true" customHeight="false" outlineLevel="0" collapsed="false">
      <c r="P87" s="9"/>
      <c r="Q87" s="9" t="s">
        <v>88</v>
      </c>
      <c r="R87" s="9"/>
      <c r="S87" s="216" t="n">
        <f aca="false">VLOOKUP(MAX($S$23:$S$82),($S$23:$U$82),1,0)</f>
        <v>0</v>
      </c>
      <c r="T87" s="9"/>
      <c r="U87" s="9"/>
      <c r="V87" s="9"/>
    </row>
    <row r="88" customFormat="false" ht="12.75" hidden="true" customHeight="false" outlineLevel="0" collapsed="false">
      <c r="P88" s="9"/>
      <c r="Q88" s="9" t="s">
        <v>89</v>
      </c>
      <c r="R88" s="9"/>
      <c r="S88" s="216" t="n">
        <f aca="false">VLOOKUP((S87),($S$23:$U$82),2,0)</f>
        <v>0</v>
      </c>
      <c r="T88" s="9"/>
      <c r="U88" s="9"/>
      <c r="V88" s="9"/>
    </row>
    <row r="89" customFormat="false" ht="12.75" hidden="false" customHeight="false" outlineLevel="0" collapsed="false">
      <c r="Q89" s="9" t="s">
        <v>90</v>
      </c>
      <c r="R89" s="9"/>
      <c r="S89" s="216" t="n">
        <f aca="false">VLOOKUP((S87),($S$23:$U$82),3,0)</f>
        <v>0</v>
      </c>
      <c r="T89" s="9"/>
    </row>
    <row r="90" customFormat="false" ht="12.75" hidden="false" customHeight="false" outlineLevel="0" collapsed="false">
      <c r="Q90" s="9" t="s">
        <v>91</v>
      </c>
      <c r="R90" s="9"/>
      <c r="S90" s="252" t="str">
        <f aca="false">IF(ISERROR(SUM($T$23:$T$82)/SUM($U$23:$U$82)),"",(SUM($T$23:$T$82)-S88)/(SUM($U$23:$U$82)-S89))</f>
        <v/>
      </c>
      <c r="T90" s="9"/>
    </row>
    <row r="91" customFormat="false" ht="12.75" hidden="false" customHeight="false" outlineLevel="0" collapsed="false">
      <c r="Q91" s="215" t="s">
        <v>92</v>
      </c>
      <c r="R91" s="215"/>
      <c r="S91" s="215" t="e">
        <f aca="false">INDEX(,$T$91)</f>
        <v>#VALUE!</v>
      </c>
      <c r="T91" s="9" t="e">
        <f aca="false">IF(ISERROR(MATCH($S$93,,0)),MATCH($S$93,,0),(MATCH($S$93,,0)))</f>
        <v>#VALUE!</v>
      </c>
      <c r="U91" s="241"/>
    </row>
    <row r="92" customFormat="false" ht="12.75" hidden="false" customHeight="false" outlineLevel="0" collapsed="false">
      <c r="Q92" s="9" t="s">
        <v>93</v>
      </c>
      <c r="R92" s="9"/>
      <c r="S92" s="9" t="n">
        <f aca="false">MATCH(S87,$S$23:$S$82,0)</f>
        <v>1</v>
      </c>
      <c r="T92" s="9"/>
    </row>
    <row r="93" customFormat="false" ht="12.75" hidden="false" customHeight="false" outlineLevel="0" collapsed="false">
      <c r="Q93" s="215" t="s">
        <v>94</v>
      </c>
      <c r="R93" s="9"/>
      <c r="S93" s="215" t="str">
        <f aca="false">INDEX($A$23:$A$82,$S$92)</f>
        <v>CHIPOL</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2024-03-14T21:42:45Z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