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RE Dorat" sheetId="1" state="visible" r:id="rId2"/>
  </sheets>
  <externalReferences>
    <externalReference r:id="rId3"/>
  </externalReferences>
  <definedNames>
    <definedName function="false" hidden="false" localSheetId="0" name="Excel_BuiltIn_Print_Area" vbProcedure="false">'DORE Dorat'!$A$1:$O$82</definedName>
    <definedName function="false" hidden="false" localSheetId="0" name="Excel_BuiltIn__FilterDatabase" vbProcedure="false">'DORE Dorat'!$A$23:$J$84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<sst xmlns="http://schemas.openxmlformats.org/spreadsheetml/2006/main" count="103" uniqueCount="100">
  <si>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</si>
  <si>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</si>
  <si>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</si>
  <si>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</si>
  <si>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</si>
  <si>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DORE</t>
  </si>
  <si>
    <t xml:space="preserve">Dorat</t>
  </si>
  <si>
    <t xml:space="preserve">04039000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</si>
  <si>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</si>
  <si>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</si>
  <si>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</si>
  <si>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</si>
  <si>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</si>
  <si>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</si>
  <si>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</si>
  <si>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</si>
  <si>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</si>
  <si>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</si>
  <si>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</si>
  <si>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</si>
  <si>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</si>
  <si>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</si>
  <si>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</si>
  <si>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</si>
  <si>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</si>
  <si>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</si>
  <si>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</si>
  <si>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</si>
  <si>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</si>
  <si>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</si>
  <si>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</si>
  <si>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</si>
  <si>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</si>
  <si>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</si>
  <si>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</si>
  <si>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</si>
  <si>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</si>
  <si>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</si>
  <si>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</si>
  <si>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</si>
  <si>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</si>
  <si>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</si>
  <si>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</si>
  <si>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</si>
  <si>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</si>
  <si>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</si>
  <si>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</si>
  <si>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</si>
  <si>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</si>
  <si>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</si>
  <si>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</si>
  <si>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</si>
  <si>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</si>
  <si>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</si>
  <si>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</si>
  <si>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</si>
  <si>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</si>
  <si>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</si>
  <si>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</si>
  <si>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</si>
  <si>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</si>
  <si>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</si>
  <si>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</si>
  <si>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</si>
  <si>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</si>
  <si>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</si>
  <si>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</si>
  <si>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</si>
  <si>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</si>
  <si>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</si>
  <si>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</si>
  <si>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</si>
  <si>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</si>
  <si>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</si>
  <si>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LYN.SPX</t>
  </si>
  <si>
    <t xml:space="preserve">MEL.SPX</t>
  </si>
  <si>
    <t xml:space="preserve">MIC.SPX</t>
  </si>
  <si>
    <t xml:space="preserve">OED.SPX</t>
  </si>
  <si>
    <t xml:space="preserve">OSC.SPX</t>
  </si>
  <si>
    <t xml:space="preserve">SPI.SPX</t>
  </si>
  <si>
    <t xml:space="preserve">VAU.SPX</t>
  </si>
  <si>
    <t xml:space="preserve">AMB.RIP</t>
  </si>
  <si>
    <t xml:space="preserve">FON.ANT</t>
  </si>
  <si>
    <t xml:space="preserve">RHY.RIP</t>
  </si>
  <si>
    <t xml:space="preserve">CAL.HAM</t>
  </si>
  <si>
    <t xml:space="preserve">CAL.PLA</t>
  </si>
  <si>
    <t xml:space="preserve">PHA.ARU</t>
  </si>
  <si>
    <t xml:space="preserve">POL.HYD</t>
  </si>
  <si>
    <t xml:space="preserve">POT.CRI</t>
  </si>
  <si>
    <t xml:space="preserve">RAN.FLU</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</si>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</sst>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39339</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8.86</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65</v>
      </c>
      <c r="C7" s="65" t="n">
        <v>35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9.5</v>
      </c>
      <c r="O8" s="82" t="n">
        <f aca="false">AVERAGE(J23:J82)</f>
        <v>1.45</v>
      </c>
      <c r="P8" s="8"/>
      <c r="Q8" s="8"/>
      <c r="R8" s="8"/>
      <c r="S8" s="8"/>
      <c r="T8" s="8"/>
      <c r="U8" s="8"/>
      <c r="V8" s="20"/>
      <c r="W8" s="21"/>
    </row>
    <row r="9" customFormat="false" ht="13.5" hidden="false" customHeight="false" outlineLevel="0" collapsed="false">
      <c r="A9" s="83" t="s">
        <v>25</v>
      </c>
      <c r="B9" s="84" t="n">
        <v>10.5</v>
      </c>
      <c r="C9" s="85" t="n">
        <v>10</v>
      </c>
      <c r="D9" s="86"/>
      <c r="E9" s="86"/>
      <c r="F9" s="87" t="n">
        <f aca="false">($B9*$B$7+$C9*$C$7)/100</f>
        <v>10.325</v>
      </c>
      <c r="G9" s="88"/>
      <c r="H9" s="89"/>
      <c r="I9" s="90"/>
      <c r="J9" s="91"/>
      <c r="K9" s="71"/>
      <c r="L9" s="92"/>
      <c r="M9" s="80" t="s">
        <v>26</v>
      </c>
      <c r="N9" s="81" t="n">
        <f aca="false">STDEV(I23:I82)</f>
        <v>2.80037591461537</v>
      </c>
      <c r="O9" s="82" t="n">
        <f aca="false">STDEV(J23:J82)</f>
        <v>0.510417785534041</v>
      </c>
      <c r="P9" s="8"/>
      <c r="Q9" s="8"/>
      <c r="R9" s="8"/>
      <c r="S9" s="8"/>
      <c r="T9" s="8"/>
      <c r="U9" s="8"/>
      <c r="V9" s="93"/>
      <c r="W9" s="94"/>
    </row>
    <row r="10" customFormat="false" ht="13.5" hidden="false" customHeight="false" outlineLevel="0" collapsed="false">
      <c r="A10" s="95" t="s">
        <v>27</v>
      </c>
      <c r="B10" s="96" t="n">
        <v>0.2</v>
      </c>
      <c r="C10" s="97" t="n">
        <v>0.3</v>
      </c>
      <c r="D10" s="98"/>
      <c r="E10" s="98"/>
      <c r="F10" s="87" t="n">
        <f aca="false">($B10*$B$7+$C10*$C$7)/100</f>
        <v>0.235</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15</v>
      </c>
      <c r="O11" s="105" t="n">
        <f aca="false">MAX(J23:J82)</f>
        <v>2</v>
      </c>
      <c r="P11" s="8"/>
      <c r="Q11" s="8"/>
      <c r="R11" s="8"/>
      <c r="S11" s="8"/>
      <c r="T11" s="8"/>
      <c r="U11" s="8"/>
    </row>
    <row r="12" customFormat="false" ht="12.75" hidden="false" customHeight="false" outlineLevel="0" collapsed="false">
      <c r="A12" s="115" t="s">
        <v>33</v>
      </c>
      <c r="B12" s="116" t="n">
        <v>4</v>
      </c>
      <c r="C12" s="117" t="n">
        <v>5.3</v>
      </c>
      <c r="D12" s="109"/>
      <c r="E12" s="109"/>
      <c r="F12" s="110" t="n">
        <f aca="false">($B12*$B$7+$C12*$C$7)/100</f>
        <v>4.455</v>
      </c>
      <c r="G12" s="118"/>
      <c r="H12" s="66"/>
      <c r="I12" s="119" t="s">
        <v>34</v>
      </c>
      <c r="J12" s="119"/>
      <c r="K12" s="113" t="n">
        <f aca="false">COUNTIF($G$23:$G$82,"=ALG")</f>
        <v>10</v>
      </c>
      <c r="L12" s="120"/>
      <c r="M12" s="121"/>
      <c r="N12" s="122" t="s">
        <v>28</v>
      </c>
      <c r="O12" s="123"/>
      <c r="P12" s="8"/>
      <c r="Q12" s="8"/>
      <c r="R12" s="8"/>
      <c r="S12" s="8"/>
      <c r="T12" s="8"/>
      <c r="U12" s="8"/>
    </row>
    <row r="13" customFormat="false" ht="12.75" hidden="false" customHeight="false" outlineLevel="0" collapsed="false">
      <c r="A13" s="115" t="s">
        <v>35</v>
      </c>
      <c r="B13" s="116" t="n">
        <v>5.8</v>
      </c>
      <c r="C13" s="117" t="n">
        <v>4</v>
      </c>
      <c r="D13" s="109"/>
      <c r="E13" s="109"/>
      <c r="F13" s="110" t="n">
        <f aca="false">($B13*$B$7+$C13*$C$7)/100</f>
        <v>5.17</v>
      </c>
      <c r="G13" s="118"/>
      <c r="H13" s="66"/>
      <c r="I13" s="119" t="s">
        <v>36</v>
      </c>
      <c r="J13" s="119"/>
      <c r="K13" s="113" t="n">
        <f aca="false">COUNTIF($G$23:$G$82,"=BRm")+COUNTIF($G$23:$G$82,"=BRh")</f>
        <v>3</v>
      </c>
      <c r="L13" s="114"/>
      <c r="M13" s="124" t="s">
        <v>37</v>
      </c>
      <c r="N13" s="125" t="n">
        <f aca="false">COUNTIF(F23:F82,"&gt;0")</f>
        <v>20</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20</v>
      </c>
      <c r="O14" s="129"/>
      <c r="P14" s="8"/>
      <c r="Q14" s="8"/>
      <c r="R14" s="8"/>
      <c r="S14" s="8"/>
      <c r="T14" s="8"/>
      <c r="U14" s="8"/>
    </row>
    <row r="15" customFormat="false" ht="12.75" hidden="false" customHeight="false" outlineLevel="0" collapsed="false">
      <c r="A15" s="130" t="s">
        <v>41</v>
      </c>
      <c r="B15" s="131" t="n">
        <v>1</v>
      </c>
      <c r="C15" s="132" t="n">
        <v>0.75</v>
      </c>
      <c r="D15" s="109"/>
      <c r="E15" s="109"/>
      <c r="F15" s="110" t="n">
        <f aca="false">($B15*$B$7+$C15*$C$7)/100</f>
        <v>0.9125</v>
      </c>
      <c r="G15" s="118"/>
      <c r="H15" s="66"/>
      <c r="I15" s="119" t="s">
        <v>42</v>
      </c>
      <c r="J15" s="119"/>
      <c r="K15" s="113" t="n">
        <f aca="false">(COUNTIF($G$23:$G$82,"=PHy"))+(COUNTIF($G$23:$G$82,"=PHe"))+(COUNTIF($G$23:$G$82,"=PHg"))+(COUNTIF($G$23:$G$82,"=PHx"))</f>
        <v>7</v>
      </c>
      <c r="L15" s="114"/>
      <c r="M15" s="133" t="s">
        <v>43</v>
      </c>
      <c r="N15" s="134" t="n">
        <f aca="false">COUNTIF(J23:J82,"=1")</f>
        <v>11</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10.8</v>
      </c>
      <c r="C17" s="117" t="n">
        <v>9.85</v>
      </c>
      <c r="D17" s="109"/>
      <c r="E17" s="109"/>
      <c r="F17" s="139"/>
      <c r="G17" s="110" t="n">
        <f aca="false">($B17*$B$7+$C17*$C$7)/100</f>
        <v>10.4675</v>
      </c>
      <c r="H17" s="66"/>
      <c r="I17" s="119"/>
      <c r="J17" s="119"/>
      <c r="K17" s="138"/>
      <c r="L17" s="114"/>
      <c r="M17" s="133" t="s">
        <v>47</v>
      </c>
      <c r="N17" s="134" t="n">
        <f aca="false">COUNTIF(J23:J82,"=3")</f>
        <v>0</v>
      </c>
      <c r="O17" s="135"/>
      <c r="P17" s="8"/>
      <c r="Q17" s="8"/>
      <c r="R17" s="8"/>
      <c r="S17" s="8"/>
      <c r="T17" s="8"/>
      <c r="U17" s="8"/>
    </row>
    <row r="18" customFormat="false" ht="12.75" hidden="false" customHeight="false" outlineLevel="0" collapsed="false">
      <c r="A18" s="140" t="s">
        <v>48</v>
      </c>
      <c r="B18" s="141"/>
      <c r="C18" s="142" t="n">
        <v>0.2</v>
      </c>
      <c r="D18" s="109"/>
      <c r="E18" s="143" t="s">
        <v>49</v>
      </c>
      <c r="F18" s="139"/>
      <c r="G18" s="110" t="n">
        <f aca="false">($B18*$B$7+$C18*$C$7)/100</f>
        <v>0.07</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10.5375</v>
      </c>
      <c r="G19" s="151" t="n">
        <f aca="false">SUM(G16:G18)</f>
        <v>10.5375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10.92</v>
      </c>
      <c r="C20" s="160" t="n">
        <f aca="false">SUM(C23:C82)</f>
        <v>10.25</v>
      </c>
      <c r="D20" s="161"/>
      <c r="E20" s="162" t="s">
        <v>49</v>
      </c>
      <c r="F20" s="163" t="n">
        <f aca="false">($B20*$B$7+$C20*$C$7)/100</f>
        <v>10.6855</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7.098</v>
      </c>
      <c r="C21" s="172" t="n">
        <f aca="false">C20*C7/100</f>
        <v>3.5875</v>
      </c>
      <c r="D21" s="109" t="str">
        <f aca="false">IF(F21=0,"",IF((ABS(F21-F19))&gt;(0.2*F21),CONCATENATE(" rec. par taxa (",F21," %) supérieur à 20 % !"),""))</f>
        <v/>
      </c>
      <c r="E21" s="173" t="str">
        <f aca="false">IF(F21=0,"",IF((ABS(F21-F19))&gt;(0.2*F21),CONCATENATE("ATTENTION : écart entre rec. par grp (",F19," %) ","et",""),""))</f>
        <v/>
      </c>
      <c r="F21" s="174" t="n">
        <f aca="false">B21+C21</f>
        <v>10.6855</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0.15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0.0975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0.0975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72</v>
      </c>
      <c r="B24" s="213"/>
      <c r="C24" s="214" t="n">
        <v>2</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0.7</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0.7</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73</v>
      </c>
      <c r="B25" s="213" t="n">
        <v>0.1</v>
      </c>
      <c r="C25" s="214"/>
      <c r="D25" s="215" t="str">
        <f aca="false">IF(ISERROR(VLOOKUP($A25,'[1]liste reference'!$A$7:$D$906,2,0)),IF(ISERROR(VLOOKUP($A25,'[1]liste reference'!$B$7:$D$906,1,0)),"",VLOOKUP($A25,'[1]liste reference'!$B$7:$D$906,1,0)),VLOOKUP($A25,'[1]liste reference'!$A$7:$D$906,2,0))</f>
        <v>Lemanea gr. fluviatilis</v>
      </c>
      <c r="E25" s="215" t="e">
        <f aca="false">IF(D25="",0,VLOOKUP(D25,D$21:D24,1,0))</f>
        <v>#N/A</v>
      </c>
      <c r="F25" s="216" t="n">
        <f aca="false">($B25*$B$7+$C25*$C$7)/100</f>
        <v>0.065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0.065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W25" s="222"/>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74</v>
      </c>
      <c r="B26" s="213" t="n">
        <v>0.05</v>
      </c>
      <c r="C26" s="214"/>
      <c r="D26" s="215" t="str">
        <f aca="false">IF(ISERROR(VLOOKUP($A26,'[1]liste reference'!$A$7:$D$906,2,0)),IF(ISERROR(VLOOKUP($A26,'[1]liste reference'!$B$7:$D$906,1,0)),"",VLOOKUP($A26,'[1]liste reference'!$B$7:$D$906,1,0)),VLOOKUP($A26,'[1]liste reference'!$A$7:$D$906,2,0))</f>
        <v>Lyngbya sp.</v>
      </c>
      <c r="E26" s="215" t="e">
        <f aca="false">IF(D26="",0,VLOOKUP(D26,D$22:D25,1,0))</f>
        <v>#N/A</v>
      </c>
      <c r="F26" s="216" t="n">
        <f aca="false">($B26*$B$7+$C26*$C$7)/100</f>
        <v>0.0325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Lyngbya sp.</v>
      </c>
      <c r="L26" s="220"/>
      <c r="M26" s="220"/>
      <c r="N26" s="220"/>
      <c r="O26" s="205"/>
      <c r="P26" s="206" t="n">
        <f aca="false">IF(ISTEXT(H26),"",(B26*$B$7/100)+(C26*$C$7/100))</f>
        <v>0.0325</v>
      </c>
      <c r="Q26" s="207" t="n">
        <f aca="false">IF(OR(ISTEXT(H26),P26=0),"",IF(P26&lt;0.1,1,IF(P26&lt;1,2,IF(P26&lt;10,3,IF(P26&lt;50,4,IF(P26&gt;=50,5,""))))))</f>
        <v>1</v>
      </c>
      <c r="R26" s="207" t="n">
        <f aca="false">IF(ISERROR(Q26*I26),0,Q26*I26)</f>
        <v>10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LYN.SPX</v>
      </c>
      <c r="Y26" s="8" t="n">
        <f aca="false">IF(ISERROR(MATCH(A26,'[1]liste reference'!$A$7:$A$906,0)),IF(ISERROR(MATCH(A26,'[1]liste reference'!$B$7:$B$906,0)),"",(MATCH(A26,'[1]liste reference'!$B$7:$B$906,0))),(MATCH(A26,'[1]liste reference'!$A$7:$A$906,0)))</f>
        <v>36</v>
      </c>
      <c r="Z26" s="210"/>
      <c r="AA26" s="211"/>
      <c r="BB26" s="8" t="n">
        <f aca="false">IF(A26="","",1)</f>
        <v>1</v>
      </c>
    </row>
    <row r="27" customFormat="false" ht="12.75" hidden="false" customHeight="false" outlineLevel="0" collapsed="false">
      <c r="A27" s="212" t="s">
        <v>75</v>
      </c>
      <c r="B27" s="213" t="n">
        <v>0.2</v>
      </c>
      <c r="C27" s="214" t="n">
        <v>0.3</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0.235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0.235</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76</v>
      </c>
      <c r="B28" s="213" t="n">
        <v>0.2</v>
      </c>
      <c r="C28" s="214" t="n">
        <v>0.2</v>
      </c>
      <c r="D28" s="215" t="str">
        <f aca="false">IF(ISERROR(VLOOKUP($A28,'[1]liste reference'!$A$7:$D$906,2,0)),IF(ISERROR(VLOOKUP($A28,'[1]liste reference'!$B$7:$D$906,1,0)),"",VLOOKUP($A28,'[1]liste reference'!$B$7:$D$906,1,0)),VLOOKUP($A28,'[1]liste reference'!$A$7:$D$906,2,0))</f>
        <v>Microspora sp.</v>
      </c>
      <c r="E28" s="215" t="e">
        <f aca="false">IF(D28="",0,VLOOKUP(D28,D$22:D27,1,0))</f>
        <v>#N/A</v>
      </c>
      <c r="F28" s="216" t="n">
        <f aca="false">($B28*$B$7+$C28*$C$7)/100</f>
        <v>0.2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Microspora sp.</v>
      </c>
      <c r="L28" s="220"/>
      <c r="M28" s="220"/>
      <c r="N28" s="220"/>
      <c r="O28" s="205"/>
      <c r="P28" s="206" t="n">
        <f aca="false">IF(ISTEXT(H28),"",(B28*$B$7/100)+(C28*$C$7/100))</f>
        <v>0.2</v>
      </c>
      <c r="Q28" s="207" t="n">
        <f aca="false">IF(OR(ISTEXT(H28),P28=0),"",IF(P28&lt;0.1,1,IF(P28&lt;1,2,IF(P28&lt;10,3,IF(P28&lt;50,4,IF(P28&gt;=50,5,""))))))</f>
        <v>2</v>
      </c>
      <c r="R28" s="207" t="n">
        <f aca="false">IF(ISERROR(Q28*I28),0,Q28*I28)</f>
        <v>24</v>
      </c>
      <c r="S28" s="207" t="n">
        <f aca="false">IF(ISERROR(Q28*I28*J28),0,Q28*I28*J28)</f>
        <v>48</v>
      </c>
      <c r="T28" s="221" t="n">
        <f aca="false">IF(ISERROR(Q28*J28),0,Q28*J28)</f>
        <v>4</v>
      </c>
      <c r="U28" s="208" t="str">
        <f aca="false">IF(AND(A28="",F28=0),"",IF(F28=0,"Il manque le(s) % de rec. !",""))</f>
        <v/>
      </c>
      <c r="V28" s="209"/>
      <c r="X28" s="207" t="str">
        <f aca="false">IF(A28="new.cod","NEW.COD",IF(AND((Y28=""),ISTEXT(A28)),A28,IF(Y28="","",INDEX('[1]liste reference'!$A$7:$A$906,Y28))))</f>
        <v>MIC.SPX</v>
      </c>
      <c r="Y28" s="8" t="n">
        <f aca="false">IF(ISERROR(MATCH(A28,'[1]liste reference'!$A$7:$A$906,0)),IF(ISERROR(MATCH(A28,'[1]liste reference'!$B$7:$B$906,0)),"",(MATCH(A28,'[1]liste reference'!$B$7:$B$906,0))),(MATCH(A28,'[1]liste reference'!$A$7:$A$906,0)))</f>
        <v>42</v>
      </c>
      <c r="Z28" s="210"/>
      <c r="AA28" s="211"/>
      <c r="BB28" s="8" t="n">
        <f aca="false">IF(A28="","",1)</f>
        <v>1</v>
      </c>
    </row>
    <row r="29" customFormat="false" ht="12.75" hidden="false" customHeight="false" outlineLevel="0" collapsed="false">
      <c r="A29" s="212" t="s">
        <v>77</v>
      </c>
      <c r="B29" s="213" t="n">
        <v>1.2</v>
      </c>
      <c r="C29" s="214" t="n">
        <v>3</v>
      </c>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1.83</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0"/>
      <c r="M29" s="220"/>
      <c r="N29" s="220"/>
      <c r="O29" s="205"/>
      <c r="P29" s="206" t="n">
        <f aca="false">IF(ISTEXT(H29),"",(B29*$B$7/100)+(C29*$C$7/100))</f>
        <v>1.83</v>
      </c>
      <c r="Q29" s="207" t="n">
        <f aca="false">IF(OR(ISTEXT(H29),P29=0),"",IF(P29&lt;0.1,1,IF(P29&lt;1,2,IF(P29&lt;10,3,IF(P29&lt;50,4,IF(P29&gt;=50,5,""))))))</f>
        <v>3</v>
      </c>
      <c r="R29" s="207" t="n">
        <f aca="false">IF(ISERROR(Q29*I29),0,Q29*I29)</f>
        <v>18</v>
      </c>
      <c r="S29" s="207" t="n">
        <f aca="false">IF(ISERROR(Q29*I29*J29),0,Q29*I29*J29)</f>
        <v>36</v>
      </c>
      <c r="T29" s="221" t="n">
        <f aca="false">IF(ISERROR(Q29*J29),0,Q29*J29)</f>
        <v>6</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78</v>
      </c>
      <c r="B30" s="213" t="n">
        <v>0.2</v>
      </c>
      <c r="C30" s="214"/>
      <c r="D30" s="215" t="str">
        <f aca="false">IF(ISERROR(VLOOKUP($A30,'[1]liste reference'!$A$7:$D$906,2,0)),IF(ISERROR(VLOOKUP($A30,'[1]liste reference'!$B$7:$D$906,1,0)),"",VLOOKUP($A30,'[1]liste reference'!$B$7:$D$906,1,0)),VLOOKUP($A30,'[1]liste reference'!$A$7:$D$906,2,0))</f>
        <v>Oscillatoria sp.</v>
      </c>
      <c r="E30" s="215" t="e">
        <f aca="false">IF(D30="",0,VLOOKUP(D30,D$22:D29,1,0))</f>
        <v>#N/A</v>
      </c>
      <c r="F30" s="216" t="n">
        <f aca="false">($B30*$B$7+$C30*$C$7)/100</f>
        <v>0.13</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Oscillatoria sp.</v>
      </c>
      <c r="L30" s="220"/>
      <c r="M30" s="220"/>
      <c r="N30" s="220"/>
      <c r="O30" s="205"/>
      <c r="P30" s="206" t="n">
        <f aca="false">IF(ISTEXT(H30),"",(B30*$B$7/100)+(C30*$C$7/100))</f>
        <v>0.13</v>
      </c>
      <c r="Q30" s="207" t="n">
        <f aca="false">IF(OR(ISTEXT(H30),P30=0),"",IF(P30&lt;0.1,1,IF(P30&lt;1,2,IF(P30&lt;10,3,IF(P30&lt;50,4,IF(P30&gt;=50,5,""))))))</f>
        <v>2</v>
      </c>
      <c r="R30" s="207" t="n">
        <f aca="false">IF(ISERROR(Q30*I30),0,Q30*I30)</f>
        <v>22</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75" hidden="false" customHeight="false" outlineLevel="0" collapsed="false">
      <c r="A31" s="212" t="s">
        <v>79</v>
      </c>
      <c r="B31" s="213" t="n">
        <v>0.02</v>
      </c>
      <c r="C31" s="214"/>
      <c r="D31" s="215" t="str">
        <f aca="false">IF(ISERROR(VLOOKUP($A31,'[1]liste reference'!$A$7:$D$906,2,0)),IF(ISERROR(VLOOKUP($A31,'[1]liste reference'!$B$7:$D$906,1,0)),"",VLOOKUP($A31,'[1]liste reference'!$B$7:$D$906,1,0)),VLOOKUP($A31,'[1]liste reference'!$A$7:$D$906,2,0))</f>
        <v>Spirogyra sp.</v>
      </c>
      <c r="E31" s="215" t="e">
        <f aca="false">IF(D31="",0,VLOOKUP(D31,D$22:D30,1,0))</f>
        <v>#N/A</v>
      </c>
      <c r="F31" s="216" t="n">
        <f aca="false">($B31*$B$7+$C31*$C$7)/100</f>
        <v>0.013</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Spirogyra sp.</v>
      </c>
      <c r="L31" s="220"/>
      <c r="M31" s="220"/>
      <c r="N31" s="220"/>
      <c r="O31" s="205"/>
      <c r="P31" s="206" t="n">
        <f aca="false">IF(ISTEXT(H31),"",(B31*$B$7/100)+(C31*$C$7/100))</f>
        <v>0.013</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212" t="s">
        <v>80</v>
      </c>
      <c r="B32" s="213" t="n">
        <v>2</v>
      </c>
      <c r="C32" s="214"/>
      <c r="D32" s="215" t="str">
        <f aca="false">IF(ISERROR(VLOOKUP($A32,'[1]liste reference'!$A$7:$D$906,2,0)),IF(ISERROR(VLOOKUP($A32,'[1]liste reference'!$B$7:$D$906,1,0)),"",VLOOKUP($A32,'[1]liste reference'!$B$7:$D$906,1,0)),VLOOKUP($A32,'[1]liste reference'!$A$7:$D$906,2,0))</f>
        <v>Vaucheria sp.</v>
      </c>
      <c r="E32" s="215" t="e">
        <f aca="false">IF(D32="",0,VLOOKUP(D32,D$22:D31,1,0))</f>
        <v>#N/A</v>
      </c>
      <c r="F32" s="216" t="n">
        <f aca="false">($B32*$B$7+$C32*$C$7)/100</f>
        <v>1.3</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4</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Vaucheria sp.</v>
      </c>
      <c r="L32" s="220"/>
      <c r="M32" s="220"/>
      <c r="N32" s="220"/>
      <c r="O32" s="205"/>
      <c r="P32" s="206" t="n">
        <f aca="false">IF(ISTEXT(H32),"",(B32*$B$7/100)+(C32*$C$7/100))</f>
        <v>1.3</v>
      </c>
      <c r="Q32" s="207" t="n">
        <f aca="false">IF(OR(ISTEXT(H32),P32=0),"",IF(P32&lt;0.1,1,IF(P32&lt;1,2,IF(P32&lt;10,3,IF(P32&lt;50,4,IF(P32&gt;=50,5,""))))))</f>
        <v>3</v>
      </c>
      <c r="R32" s="207" t="n">
        <f aca="false">IF(ISERROR(Q32*I32),0,Q32*I32)</f>
        <v>12</v>
      </c>
      <c r="S32" s="207" t="n">
        <f aca="false">IF(ISERROR(Q32*I32*J32),0,Q32*I32*J32)</f>
        <v>12</v>
      </c>
      <c r="T32" s="221" t="n">
        <f aca="false">IF(ISERROR(Q32*J32),0,Q32*J32)</f>
        <v>3</v>
      </c>
      <c r="U32" s="208" t="str">
        <f aca="false">IF(AND(A32="",F32=0),"",IF(F32=0,"Il manque le(s) % de rec. !",""))</f>
        <v/>
      </c>
      <c r="V32" s="209"/>
      <c r="X32" s="207" t="str">
        <f aca="false">IF(A32="new.cod","NEW.COD",IF(AND((Y32=""),ISTEXT(A32)),A32,IF(Y32="","",INDEX('[1]liste reference'!$A$7:$A$906,Y32))))</f>
        <v>VAU.SPX</v>
      </c>
      <c r="Y32" s="8" t="n">
        <f aca="false">IF(ISERROR(MATCH(A32,'[1]liste reference'!$A$7:$A$906,0)),IF(ISERROR(MATCH(A32,'[1]liste reference'!$B$7:$B$906,0)),"",(MATCH(A32,'[1]liste reference'!$B$7:$B$906,0))),(MATCH(A32,'[1]liste reference'!$A$7:$A$906,0)))</f>
        <v>83</v>
      </c>
      <c r="Z32" s="210"/>
      <c r="AA32" s="211"/>
      <c r="BB32" s="8" t="n">
        <f aca="false">IF(A32="","",1)</f>
        <v>1</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t="s">
        <v>81</v>
      </c>
      <c r="B34" s="213" t="n">
        <v>0.8</v>
      </c>
      <c r="C34" s="214" t="n">
        <v>1.5</v>
      </c>
      <c r="D34" s="215" t="str">
        <f aca="false">IF(ISERROR(VLOOKUP($A34,'[1]liste reference'!$A$7:$D$906,2,0)),IF(ISERROR(VLOOKUP($A34,'[1]liste reference'!$B$7:$D$906,1,0)),"",VLOOKUP($A34,'[1]liste reference'!$B$7:$D$906,1,0)),VLOOKUP($A34,'[1]liste reference'!$A$7:$D$906,2,0))</f>
        <v>Amblystegium riparium (Leptodictyum riparium)</v>
      </c>
      <c r="E34" s="215" t="e">
        <f aca="false">IF(D34="",0,VLOOKUP(D34,D$22:D33,1,0))</f>
        <v>#N/A</v>
      </c>
      <c r="F34" s="225" t="n">
        <f aca="false">($B34*$B$7+$C34*$C$7)/100</f>
        <v>1.045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Amblystegium riparium (Leptodictyum riparium)</v>
      </c>
      <c r="L34" s="223"/>
      <c r="M34" s="223"/>
      <c r="N34" s="223"/>
      <c r="O34" s="224"/>
      <c r="P34" s="206" t="n">
        <f aca="false">IF(ISTEXT(H34),"",(B34*$B$7/100)+(C34*$C$7/100))</f>
        <v>1.045</v>
      </c>
      <c r="Q34" s="207" t="n">
        <f aca="false">IF(OR(ISTEXT(H34),P34=0),"",IF(P34&lt;0.1,1,IF(P34&lt;1,2,IF(P34&lt;10,3,IF(P34&lt;50,4,IF(P34&gt;=50,5,""))))))</f>
        <v>3</v>
      </c>
      <c r="R34" s="207" t="n">
        <f aca="false">IF(ISERROR(Q34*I34),0,Q34*I34)</f>
        <v>15</v>
      </c>
      <c r="S34" s="207" t="n">
        <f aca="false">IF(ISERROR(Q34*I34*J34),0,Q34*I34*J34)</f>
        <v>30</v>
      </c>
      <c r="T34" s="221" t="n">
        <f aca="false">IF(ISERROR(Q34*J34),0,Q34*J34)</f>
        <v>6</v>
      </c>
      <c r="U34" s="208" t="str">
        <f aca="false">IF(AND(A34="",F34=0),"",IF(F34=0,"Il manque le(s) % de rec. !",""))</f>
        <v/>
      </c>
      <c r="V34" s="209"/>
      <c r="X34" s="207" t="str">
        <f aca="false">IF(A34="new.cod","NEW.COD",IF(AND((Y34=""),ISTEXT(A34)),A34,IF(Y34="","",INDEX('[1]liste reference'!$A$7:$A$906,Y34))))</f>
        <v>AMB.RIP</v>
      </c>
      <c r="Y34" s="8" t="n">
        <f aca="false">IF(ISERROR(MATCH(A34,'[1]liste reference'!$A$7:$A$906,0)),IF(ISERROR(MATCH(A34,'[1]liste reference'!$B$7:$B$906,0)),"",(MATCH(A34,'[1]liste reference'!$B$7:$B$906,0))),(MATCH(A34,'[1]liste reference'!$A$7:$A$906,0)))</f>
        <v>149</v>
      </c>
      <c r="Z34" s="210"/>
      <c r="AA34" s="211"/>
      <c r="BB34" s="8" t="n">
        <f aca="false">IF(A34="","",1)</f>
        <v>1</v>
      </c>
    </row>
    <row r="35" customFormat="false" ht="12.75" hidden="false" customHeight="false" outlineLevel="0" collapsed="false">
      <c r="A35" s="212" t="s">
        <v>82</v>
      </c>
      <c r="B35" s="213" t="n">
        <v>1</v>
      </c>
      <c r="C35" s="214" t="n">
        <v>1.5</v>
      </c>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1.175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05"/>
      <c r="P35" s="206" t="n">
        <f aca="false">IF(ISTEXT(H35),"",(B35*$B$7/100)+(C35*$C$7/100))</f>
        <v>1.175</v>
      </c>
      <c r="Q35" s="207" t="n">
        <f aca="false">IF(OR(ISTEXT(H35),P35=0),"",IF(P35&lt;0.1,1,IF(P35&lt;1,2,IF(P35&lt;10,3,IF(P35&lt;50,4,IF(P35&gt;=50,5,""))))))</f>
        <v>3</v>
      </c>
      <c r="R35" s="207" t="n">
        <f aca="false">IF(ISERROR(Q35*I35),0,Q35*I35)</f>
        <v>30</v>
      </c>
      <c r="S35" s="207" t="n">
        <f aca="false">IF(ISERROR(Q35*I35*J35),0,Q35*I35*J35)</f>
        <v>30</v>
      </c>
      <c r="T35" s="221" t="n">
        <f aca="false">IF(ISERROR(Q35*J35),0,Q35*J35)</f>
        <v>3</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83</v>
      </c>
      <c r="B36" s="213" t="n">
        <v>4</v>
      </c>
      <c r="C36" s="214" t="n">
        <v>1</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2.95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2.95</v>
      </c>
      <c r="Q36" s="207" t="n">
        <f aca="false">IF(OR(ISTEXT(H36),P36=0),"",IF(P36&lt;0.1,1,IF(P36&lt;1,2,IF(P36&lt;10,3,IF(P36&lt;50,4,IF(P36&gt;=50,5,""))))))</f>
        <v>3</v>
      </c>
      <c r="R36" s="207" t="n">
        <f aca="false">IF(ISERROR(Q36*I36),0,Q36*I36)</f>
        <v>36</v>
      </c>
      <c r="S36" s="207" t="n">
        <f aca="false">IF(ISERROR(Q36*I36*J36),0,Q36*I36*J36)</f>
        <v>36</v>
      </c>
      <c r="T36" s="221" t="n">
        <f aca="false">IF(ISERROR(Q36*J36),0,Q36*J36)</f>
        <v>3</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t="s">
        <v>84</v>
      </c>
      <c r="B38" s="213"/>
      <c r="C38" s="214" t="n">
        <v>0.1</v>
      </c>
      <c r="D38" s="215" t="str">
        <f aca="false">IF(ISERROR(VLOOKUP($A38,'[1]liste reference'!$A$7:$D$906,2,0)),IF(ISERROR(VLOOKUP($A38,'[1]liste reference'!$B$7:$D$906,1,0)),"",VLOOKUP($A38,'[1]liste reference'!$B$7:$D$906,1,0)),VLOOKUP($A38,'[1]liste reference'!$A$7:$D$906,2,0))</f>
        <v>Callitriche hamulata</v>
      </c>
      <c r="E38" s="215" t="e">
        <f aca="false">IF(D38="",0,VLOOKUP(D38,D$22:D37,1,0))</f>
        <v>#N/A</v>
      </c>
      <c r="F38" s="225" t="n">
        <f aca="false">($B38*$B$7+$C38*$C$7)/100</f>
        <v>0.035</v>
      </c>
      <c r="G38" s="217"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Callitriche hamulata</v>
      </c>
      <c r="L38" s="220"/>
      <c r="M38" s="220"/>
      <c r="N38" s="220"/>
      <c r="O38" s="205"/>
      <c r="P38" s="206" t="n">
        <f aca="false">IF(ISTEXT(H38),"",(B38*$B$7/100)+(C38*$C$7/100))</f>
        <v>0.035</v>
      </c>
      <c r="Q38" s="207" t="n">
        <f aca="false">IF(OR(ISTEXT(H38),P38=0),"",IF(P38&lt;0.1,1,IF(P38&lt;1,2,IF(P38&lt;10,3,IF(P38&lt;50,4,IF(P38&gt;=50,5,""))))))</f>
        <v>1</v>
      </c>
      <c r="R38" s="207" t="n">
        <f aca="false">IF(ISERROR(Q38*I38),0,Q38*I38)</f>
        <v>12</v>
      </c>
      <c r="S38" s="207" t="n">
        <f aca="false">IF(ISERROR(Q38*I38*J38),0,Q38*I38*J38)</f>
        <v>12</v>
      </c>
      <c r="T38" s="221" t="n">
        <f aca="false">IF(ISERROR(Q38*J38),0,Q38*J38)</f>
        <v>1</v>
      </c>
      <c r="U38" s="208" t="str">
        <f aca="false">IF(AND(A38="",F38=0),"",IF(F38=0,"Il manque le(s) % de rec. !",""))</f>
        <v/>
      </c>
      <c r="V38" s="209"/>
      <c r="W38" s="209"/>
      <c r="X38" s="207" t="str">
        <f aca="false">IF(A38="new.cod","NEW.COD",IF(AND((Y38=""),ISTEXT(A38)),A38,IF(Y38="","",INDEX('[1]liste reference'!$A$7:$A$906,Y38))))</f>
        <v>CAL.HAM</v>
      </c>
      <c r="Y38" s="8" t="n">
        <f aca="false">IF(ISERROR(MATCH(A38,'[1]liste reference'!$A$7:$A$906,0)),IF(ISERROR(MATCH(A38,'[1]liste reference'!$B$7:$B$906,0)),"",(MATCH(A38,'[1]liste reference'!$B$7:$B$906,0))),(MATCH(A38,'[1]liste reference'!$A$7:$A$906,0)))</f>
        <v>318</v>
      </c>
      <c r="Z38" s="210"/>
      <c r="AA38" s="211"/>
      <c r="BB38" s="8" t="n">
        <f aca="false">IF(A38="","",1)</f>
        <v>1</v>
      </c>
    </row>
    <row r="39" customFormat="false" ht="12.75" hidden="false" customHeight="false" outlineLevel="0" collapsed="false">
      <c r="A39" s="212" t="s">
        <v>85</v>
      </c>
      <c r="B39" s="213"/>
      <c r="C39" s="214" t="n">
        <v>0.05</v>
      </c>
      <c r="D39" s="215" t="str">
        <f aca="false">IF(ISERROR(VLOOKUP($A39,'[1]liste reference'!$A$7:$D$906,2,0)),IF(ISERROR(VLOOKUP($A39,'[1]liste reference'!$B$7:$D$906,1,0)),"",VLOOKUP($A39,'[1]liste reference'!$B$7:$D$906,1,0)),VLOOKUP($A39,'[1]liste reference'!$A$7:$D$906,2,0))</f>
        <v>Callitriche platycarpa</v>
      </c>
      <c r="E39" s="215" t="e">
        <f aca="false">IF(D39="",0,VLOOKUP(D39,D$22:D38,1,0))</f>
        <v>#N/A</v>
      </c>
      <c r="F39" s="225" t="n">
        <f aca="false">($B39*$B$7+$C39*$C$7)/100</f>
        <v>0.0175</v>
      </c>
      <c r="G39" s="217"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Callitriche platycarpa</v>
      </c>
      <c r="L39" s="220"/>
      <c r="M39" s="220"/>
      <c r="N39" s="220"/>
      <c r="O39" s="205"/>
      <c r="P39" s="206" t="n">
        <f aca="false">IF(ISTEXT(H39),"",(B39*$B$7/100)+(C39*$C$7/100))</f>
        <v>0.0175</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CAL.PLA</v>
      </c>
      <c r="Y39" s="8" t="n">
        <f aca="false">IF(ISERROR(MATCH(A39,'[1]liste reference'!$A$7:$A$906,0)),IF(ISERROR(MATCH(A39,'[1]liste reference'!$B$7:$B$906,0)),"",(MATCH(A39,'[1]liste reference'!$B$7:$B$906,0))),(MATCH(A39,'[1]liste reference'!$A$7:$A$906,0)))</f>
        <v>326</v>
      </c>
      <c r="Z39" s="210"/>
      <c r="AA39" s="211"/>
      <c r="BB39" s="8" t="n">
        <f aca="false">IF(A39="","",1)</f>
        <v>1</v>
      </c>
    </row>
    <row r="40" customFormat="false" ht="12.75" hidden="false" customHeight="false" outlineLevel="0" collapsed="false">
      <c r="A40" s="212" t="s">
        <v>86</v>
      </c>
      <c r="B40" s="213"/>
      <c r="C40" s="214" t="n">
        <v>0.1</v>
      </c>
      <c r="D40" s="215" t="str">
        <f aca="false">IF(ISERROR(VLOOKUP($A40,'[1]liste reference'!$A$7:$D$906,2,0)),IF(ISERROR(VLOOKUP($A40,'[1]liste reference'!$B$7:$D$906,1,0)),"",VLOOKUP($A40,'[1]liste reference'!$B$7:$D$906,1,0)),VLOOKUP($A40,'[1]liste reference'!$A$7:$D$906,2,0))</f>
        <v>Phalaris arundinacea</v>
      </c>
      <c r="E40" s="215" t="e">
        <f aca="false">IF(D40="",0,VLOOKUP(D40,D$22:D39,1,0))</f>
        <v>#N/A</v>
      </c>
      <c r="F40" s="225" t="n">
        <f aca="false">($B40*$B$7+$C40*$C$7)/100</f>
        <v>0.035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Phalaris arundinacea</v>
      </c>
      <c r="L40" s="220"/>
      <c r="M40" s="220"/>
      <c r="N40" s="220"/>
      <c r="O40" s="205"/>
      <c r="P40" s="206" t="n">
        <f aca="false">IF(ISTEXT(H40),"",(B40*$B$7/100)+(C40*$C$7/100))</f>
        <v>0.035</v>
      </c>
      <c r="Q40" s="207" t="n">
        <f aca="false">IF(OR(ISTEXT(H40),P40=0),"",IF(P40&lt;0.1,1,IF(P40&lt;1,2,IF(P40&lt;10,3,IF(P40&lt;50,4,IF(P40&gt;=50,5,""))))))</f>
        <v>1</v>
      </c>
      <c r="R40" s="207" t="n">
        <f aca="false">IF(ISERROR(Q40*I40),0,Q40*I40)</f>
        <v>10</v>
      </c>
      <c r="S40" s="207" t="n">
        <f aca="false">IF(ISERROR(Q40*I40*J40),0,Q40*I40*J40)</f>
        <v>10</v>
      </c>
      <c r="T40" s="221" t="n">
        <f aca="false">IF(ISERROR(Q40*J40),0,Q40*J40)</f>
        <v>1</v>
      </c>
      <c r="U40" s="208" t="str">
        <f aca="false">IF(AND(A40="",F40=0),"",IF(F40=0,"Il manque le(s) % de rec. !",""))</f>
        <v/>
      </c>
      <c r="V40" s="209"/>
      <c r="X40" s="207" t="str">
        <f aca="false">IF(A40="new.cod","NEW.COD",IF(AND((Y40=""),ISTEXT(A40)),A40,IF(Y40="","",INDEX('[1]liste reference'!$A$7:$A$906,Y40))))</f>
        <v>PHA.ARU</v>
      </c>
      <c r="Y40" s="8" t="n">
        <f aca="false">IF(ISERROR(MATCH(A40,'[1]liste reference'!$A$7:$A$906,0)),IF(ISERROR(MATCH(A40,'[1]liste reference'!$B$7:$B$906,0)),"",(MATCH(A40,'[1]liste reference'!$B$7:$B$906,0))),(MATCH(A40,'[1]liste reference'!$A$7:$A$906,0)))</f>
        <v>640</v>
      </c>
      <c r="Z40" s="210"/>
      <c r="AA40" s="211"/>
      <c r="BB40" s="8" t="n">
        <f aca="false">IF(A40="","",1)</f>
        <v>1</v>
      </c>
    </row>
    <row r="41" customFormat="false" ht="12.75" hidden="false" customHeight="false" outlineLevel="0" collapsed="false">
      <c r="A41" s="212" t="s">
        <v>87</v>
      </c>
      <c r="B41" s="213"/>
      <c r="C41" s="214" t="n">
        <v>0.05</v>
      </c>
      <c r="D41" s="215" t="str">
        <f aca="false">IF(ISERROR(VLOOKUP($A41,'[1]liste reference'!$A$7:$D$906,2,0)),IF(ISERROR(VLOOKUP($A41,'[1]liste reference'!$B$7:$D$906,1,0)),"",VLOOKUP($A41,'[1]liste reference'!$B$7:$D$906,1,0)),VLOOKUP($A41,'[1]liste reference'!$A$7:$D$906,2,0))</f>
        <v>Polygonum hydropiper (Persicaria hydropiper)</v>
      </c>
      <c r="E41" s="215" t="e">
        <f aca="false">IF(D41="",0,VLOOKUP(D41,D$22:D40,1,0))</f>
        <v>#N/A</v>
      </c>
      <c r="F41" s="225" t="n">
        <f aca="false">($B41*$B$7+$C41*$C$7)/100</f>
        <v>0.0175</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8</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Polygonum hydropiper (Persicaria hydropiper)</v>
      </c>
      <c r="L41" s="220"/>
      <c r="M41" s="220"/>
      <c r="N41" s="220"/>
      <c r="O41" s="205"/>
      <c r="P41" s="206" t="n">
        <f aca="false">IF(ISTEXT(H41),"",(B41*$B$7/100)+(C41*$C$7/100))</f>
        <v>0.0175</v>
      </c>
      <c r="Q41" s="207" t="n">
        <f aca="false">IF(OR(ISTEXT(H41),P41=0),"",IF(P41&lt;0.1,1,IF(P41&lt;1,2,IF(P41&lt;10,3,IF(P41&lt;50,4,IF(P41&gt;=50,5,""))))))</f>
        <v>1</v>
      </c>
      <c r="R41" s="207" t="n">
        <f aca="false">IF(ISERROR(Q41*I41),0,Q41*I41)</f>
        <v>8</v>
      </c>
      <c r="S41" s="207" t="n">
        <f aca="false">IF(ISERROR(Q41*I41*J41),0,Q41*I41*J41)</f>
        <v>16</v>
      </c>
      <c r="T41" s="221" t="n">
        <f aca="false">IF(ISERROR(Q41*J41),0,Q41*J41)</f>
        <v>2</v>
      </c>
      <c r="U41" s="208" t="str">
        <f aca="false">IF(AND(A41="",F41=0),"",IF(F41=0,"Il manque le(s) % de rec. !",""))</f>
        <v/>
      </c>
      <c r="V41" s="209"/>
      <c r="X41" s="207" t="str">
        <f aca="false">IF(A41="new.cod","NEW.COD",IF(AND((Y41=""),ISTEXT(A41)),A41,IF(Y41="","",INDEX('[1]liste reference'!$A$7:$A$906,Y41))))</f>
        <v>POL.HYD</v>
      </c>
      <c r="Y41" s="8" t="n">
        <f aca="false">IF(ISERROR(MATCH(A41,'[1]liste reference'!$A$7:$A$906,0)),IF(ISERROR(MATCH(A41,'[1]liste reference'!$B$7:$B$906,0)),"",(MATCH(A41,'[1]liste reference'!$B$7:$B$906,0))),(MATCH(A41,'[1]liste reference'!$A$7:$A$906,0)))</f>
        <v>643</v>
      </c>
      <c r="Z41" s="210"/>
      <c r="AA41" s="211"/>
      <c r="BB41" s="8" t="n">
        <f aca="false">IF(A41="","",1)</f>
        <v>1</v>
      </c>
    </row>
    <row r="42" customFormat="false" ht="12.75" hidden="false" customHeight="false" outlineLevel="0" collapsed="false">
      <c r="A42" s="212" t="s">
        <v>88</v>
      </c>
      <c r="B42" s="213"/>
      <c r="C42" s="214" t="n">
        <v>0.2</v>
      </c>
      <c r="D42" s="215" t="str">
        <f aca="false">IF(ISERROR(VLOOKUP($A42,'[1]liste reference'!$A$7:$D$906,2,0)),IF(ISERROR(VLOOKUP($A42,'[1]liste reference'!$B$7:$D$906,1,0)),"",VLOOKUP($A42,'[1]liste reference'!$B$7:$D$906,1,0)),VLOOKUP($A42,'[1]liste reference'!$A$7:$D$906,2,0))</f>
        <v>Potamogeton crispus</v>
      </c>
      <c r="E42" s="215" t="e">
        <f aca="false">IF(D42="",0,VLOOKUP(D42,D$22:D41,1,0))</f>
        <v>#N/A</v>
      </c>
      <c r="F42" s="225" t="n">
        <f aca="false">($B42*$B$7+$C42*$C$7)/100</f>
        <v>0.07</v>
      </c>
      <c r="G42" s="217"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8" t="n">
        <f aca="false">IF(ISNUMBER(H42),IF(ISERROR(VLOOKUP($A42,'[1]liste reference'!$A$7:$P$906,3,0)),IF(ISERROR(VLOOKUP($A42,'[1]liste reference'!$B$7:$P$906,2,0)),"",VLOOKUP($A42,'[1]liste reference'!$B$7:$P$906,2,0)),VLOOKUP($A42,'[1]liste reference'!$A$7:$P$906,3,0)),"")</f>
        <v>7</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Potamogeton crispus</v>
      </c>
      <c r="L42" s="220"/>
      <c r="M42" s="220"/>
      <c r="N42" s="220"/>
      <c r="O42" s="205"/>
      <c r="P42" s="206" t="n">
        <f aca="false">IF(ISTEXT(H42),"",(B42*$B$7/100)+(C42*$C$7/100))</f>
        <v>0.07</v>
      </c>
      <c r="Q42" s="207" t="n">
        <f aca="false">IF(OR(ISTEXT(H42),P42=0),"",IF(P42&lt;0.1,1,IF(P42&lt;1,2,IF(P42&lt;10,3,IF(P42&lt;50,4,IF(P42&gt;=50,5,""))))))</f>
        <v>1</v>
      </c>
      <c r="R42" s="207" t="n">
        <f aca="false">IF(ISERROR(Q42*I42),0,Q42*I42)</f>
        <v>7</v>
      </c>
      <c r="S42" s="207" t="n">
        <f aca="false">IF(ISERROR(Q42*I42*J42),0,Q42*I42*J42)</f>
        <v>14</v>
      </c>
      <c r="T42" s="221" t="n">
        <f aca="false">IF(ISERROR(Q42*J42),0,Q42*J42)</f>
        <v>2</v>
      </c>
      <c r="U42" s="208" t="str">
        <f aca="false">IF(AND(A42="",F42=0),"",IF(F42=0,"Il manque le(s) % de rec. !",""))</f>
        <v/>
      </c>
      <c r="V42" s="209"/>
      <c r="X42" s="207" t="str">
        <f aca="false">IF(A42="new.cod","NEW.COD",IF(AND((Y42=""),ISTEXT(A42)),A42,IF(Y42="","",INDEX('[1]liste reference'!$A$7:$A$906,Y42))))</f>
        <v>POT.CRI</v>
      </c>
      <c r="Y42" s="8" t="n">
        <f aca="false">IF(ISERROR(MATCH(A42,'[1]liste reference'!$A$7:$A$906,0)),IF(ISERROR(MATCH(A42,'[1]liste reference'!$B$7:$B$906,0)),"",(MATCH(A42,'[1]liste reference'!$B$7:$B$906,0))),(MATCH(A42,'[1]liste reference'!$A$7:$A$906,0)))</f>
        <v>413</v>
      </c>
      <c r="Z42" s="210"/>
      <c r="AA42" s="211"/>
      <c r="BB42" s="8" t="n">
        <f aca="false">IF(A42="","",1)</f>
        <v>1</v>
      </c>
    </row>
    <row r="43" customFormat="false" ht="12.75" hidden="false" customHeight="false" outlineLevel="0" collapsed="false">
      <c r="A43" s="212" t="s">
        <v>89</v>
      </c>
      <c r="B43" s="213" t="n">
        <v>1</v>
      </c>
      <c r="C43" s="214" t="n">
        <v>0.2</v>
      </c>
      <c r="D43" s="215" t="str">
        <f aca="false">IF(ISERROR(VLOOKUP($A43,'[1]liste reference'!$A$7:$D$906,2,0)),IF(ISERROR(VLOOKUP($A43,'[1]liste reference'!$B$7:$D$906,1,0)),"",VLOOKUP($A43,'[1]liste reference'!$B$7:$D$906,1,0)),VLOOKUP($A43,'[1]liste reference'!$A$7:$D$906,2,0))</f>
        <v>Ranunculus fluitans</v>
      </c>
      <c r="E43" s="215" t="e">
        <f aca="false">IF(D43="",0,VLOOKUP(D43,D$22:D42,1,0))</f>
        <v>#N/A</v>
      </c>
      <c r="F43" s="225" t="n">
        <f aca="false">($B43*$B$7+$C43*$C$7)/100</f>
        <v>0.72</v>
      </c>
      <c r="G43" s="217" t="str">
        <f aca="false">IF(A43="","",IF(ISERROR(VLOOKUP($A43,'[1]liste reference'!$A$7:$P$906,13,0)),IF(ISERROR(VLOOKUP($A43,'[1]liste reference'!$B$7:$P$906,12,0)),"    -",VLOOKUP($A43,'[1]liste reference'!$B$7:$P$906,12,0)),VLOOKUP($A43,'[1]liste reference'!$A$7:$P$906,13,0)))</f>
        <v>PHy</v>
      </c>
      <c r="H43" s="200" t="n">
        <f aca="false">IF(A43="","x",IF(ISERROR(VLOOKUP($A43,'[1]liste reference'!$A$7:$P$906,14,0)),IF(ISERROR(VLOOKUP($A43,'[1]liste reference'!$B$7:$P$906,13,0)),"x",VLOOKUP($A43,'[1]liste reference'!$B$7:$P$906,13,0)),VLOOKUP($A43,'[1]liste reference'!$A$7:$P$906,14,0)))</f>
        <v>7</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2</v>
      </c>
      <c r="K43" s="219" t="str">
        <f aca="false">IF(A43="NEW.COD",AA43,IF(ISTEXT($E43),"DEJA SAISI !",IF(A43="","",IF(ISERROR(VLOOKUP($A43,'[1]liste reference'!$A$7:$D$906,2,0)),IF(ISERROR(VLOOKUP($A43,'[1]liste reference'!$B$7:$D$906,1,0)),"code non répertorié ou synonyme",VLOOKUP($A43,'[1]liste reference'!$B$7:$D$906,1,0)),VLOOKUP(A43,'[1]liste reference'!$A$7:$D$906,2,0)))))</f>
        <v>Ranunculus fluitans</v>
      </c>
      <c r="L43" s="220"/>
      <c r="M43" s="220"/>
      <c r="N43" s="220"/>
      <c r="O43" s="205"/>
      <c r="P43" s="206" t="n">
        <f aca="false">IF(ISTEXT(H43),"",(B43*$B$7/100)+(C43*$C$7/100))</f>
        <v>0.72</v>
      </c>
      <c r="Q43" s="207" t="n">
        <f aca="false">IF(OR(ISTEXT(H43),P43=0),"",IF(P43&lt;0.1,1,IF(P43&lt;1,2,IF(P43&lt;10,3,IF(P43&lt;50,4,IF(P43&gt;=50,5,""))))))</f>
        <v>2</v>
      </c>
      <c r="R43" s="207" t="n">
        <f aca="false">IF(ISERROR(Q43*I43),0,Q43*I43)</f>
        <v>20</v>
      </c>
      <c r="S43" s="207" t="n">
        <f aca="false">IF(ISERROR(Q43*I43*J43),0,Q43*I43*J43)</f>
        <v>40</v>
      </c>
      <c r="T43" s="221" t="n">
        <f aca="false">IF(ISERROR(Q43*J43),0,Q43*J43)</f>
        <v>4</v>
      </c>
      <c r="U43" s="208" t="str">
        <f aca="false">IF(AND(A43="",F43=0),"",IF(F43=0,"Il manque le(s) % de rec. !",""))</f>
        <v/>
      </c>
      <c r="V43" s="209"/>
      <c r="X43" s="207" t="str">
        <f aca="false">IF(A43="new.cod","NEW.COD",IF(AND((Y43=""),ISTEXT(A43)),A43,IF(Y43="","",INDEX('[1]liste reference'!$A$7:$A$906,Y43))))</f>
        <v>RAN.FLU</v>
      </c>
      <c r="Y43" s="8" t="n">
        <f aca="false">IF(ISERROR(MATCH(A43,'[1]liste reference'!$A$7:$A$906,0)),IF(ISERROR(MATCH(A43,'[1]liste reference'!$B$7:$B$906,0)),"",(MATCH(A43,'[1]liste reference'!$B$7:$B$906,0))),(MATCH(A43,'[1]liste reference'!$A$7:$A$906,0)))</f>
        <v>460</v>
      </c>
      <c r="Z43" s="210"/>
      <c r="AA43" s="211"/>
      <c r="BB43" s="8" t="n">
        <f aca="false">IF(A43="","",1)</f>
        <v>1</v>
      </c>
    </row>
    <row r="44" customFormat="false" ht="12.75" hidden="false" customHeight="false" outlineLevel="0" collapsed="false">
      <c r="A44" s="212" t="s">
        <v>90</v>
      </c>
      <c r="B44" s="213"/>
      <c r="C44" s="214" t="n">
        <v>0.05</v>
      </c>
      <c r="D44" s="215" t="str">
        <f aca="false">IF(ISERROR(VLOOKUP($A44,'[1]liste reference'!$A$7:$D$906,2,0)),IF(ISERROR(VLOOKUP($A44,'[1]liste reference'!$B$7:$D$906,1,0)),"",VLOOKUP($A44,'[1]liste reference'!$B$7:$D$906,1,0)),VLOOKUP($A44,'[1]liste reference'!$A$7:$D$906,2,0))</f>
        <v>Rorippa amphibia</v>
      </c>
      <c r="E44" s="215" t="e">
        <f aca="false">IF(D44="",0,VLOOKUP(D44,D$22:D43,1,0))</f>
        <v>#N/A</v>
      </c>
      <c r="F44" s="225" t="n">
        <f aca="false">($B44*$B$7+$C44*$C$7)/100</f>
        <v>0.0175</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9</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Rorippa amphibia</v>
      </c>
      <c r="L44" s="220"/>
      <c r="M44" s="220"/>
      <c r="N44" s="220"/>
      <c r="O44" s="205"/>
      <c r="P44" s="206" t="n">
        <f aca="false">IF(ISTEXT(H44),"",(B44*$B$7/100)+(C44*$C$7/100))</f>
        <v>0.0175</v>
      </c>
      <c r="Q44" s="207" t="n">
        <f aca="false">IF(OR(ISTEXT(H44),P44=0),"",IF(P44&lt;0.1,1,IF(P44&lt;1,2,IF(P44&lt;10,3,IF(P44&lt;50,4,IF(P44&gt;=50,5,""))))))</f>
        <v>1</v>
      </c>
      <c r="R44" s="207" t="n">
        <f aca="false">IF(ISERROR(Q44*I44),0,Q44*I44)</f>
        <v>9</v>
      </c>
      <c r="S44" s="207" t="n">
        <f aca="false">IF(ISERROR(Q44*I44*J44),0,Q44*I44*J44)</f>
        <v>9</v>
      </c>
      <c r="T44" s="221" t="n">
        <f aca="false">IF(ISERROR(Q44*J44),0,Q44*J44)</f>
        <v>1</v>
      </c>
      <c r="U44" s="208" t="str">
        <f aca="false">IF(AND(A44="",F44=0),"",IF(F44=0,"Il manque le(s) % de rec. !",""))</f>
        <v/>
      </c>
      <c r="V44" s="209"/>
      <c r="X44" s="207" t="str">
        <f aca="false">IF(A44="new.cod","NEW.COD",IF(AND((Y44=""),ISTEXT(A44)),A44,IF(Y44="","",INDEX('[1]liste reference'!$A$7:$A$906,Y44))))</f>
        <v>ROR.AMP</v>
      </c>
      <c r="Y44" s="8" t="n">
        <f aca="false">IF(ISERROR(MATCH(A44,'[1]liste reference'!$A$7:$A$906,0)),IF(ISERROR(MATCH(A44,'[1]liste reference'!$B$7:$B$906,0)),"",(MATCH(A44,'[1]liste reference'!$B$7:$B$906,0))),(MATCH(A44,'[1]liste reference'!$A$7:$A$906,0)))</f>
        <v>651</v>
      </c>
      <c r="Z44" s="210"/>
      <c r="AA44" s="211"/>
      <c r="BB44" s="8" t="n">
        <f aca="false">IF(A44="","",1)</f>
        <v>1</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DORE</v>
      </c>
      <c r="B84" s="245" t="str">
        <f aca="false">C3</f>
        <v>Dorat</v>
      </c>
      <c r="C84" s="246" t="n">
        <f aca="false">A4</f>
        <v>39339</v>
      </c>
      <c r="D84" s="247" t="n">
        <f aca="false">IF(ISERROR(SUM($S$23:$S$82)/SUM($T$23:$T$82)),"",SUM($S$23:$S$82)/SUM($T$23:$T$82))</f>
        <v>8.86</v>
      </c>
      <c r="E84" s="248" t="n">
        <f aca="false">N13</f>
        <v>20</v>
      </c>
      <c r="F84" s="245" t="n">
        <f aca="false">N14</f>
        <v>20</v>
      </c>
      <c r="G84" s="245" t="n">
        <f aca="false">N15</f>
        <v>11</v>
      </c>
      <c r="H84" s="245" t="n">
        <f aca="false">N16</f>
        <v>9</v>
      </c>
      <c r="I84" s="245" t="n">
        <f aca="false">N17</f>
        <v>0</v>
      </c>
      <c r="J84" s="249" t="n">
        <f aca="false">N8</f>
        <v>9.5</v>
      </c>
      <c r="K84" s="247" t="n">
        <f aca="false">N9</f>
        <v>2.80037591461537</v>
      </c>
      <c r="L84" s="248" t="n">
        <f aca="false">N10</f>
        <v>4</v>
      </c>
      <c r="M84" s="248" t="n">
        <f aca="false">N11</f>
        <v>15</v>
      </c>
      <c r="N84" s="247" t="n">
        <f aca="false">O8</f>
        <v>1.45</v>
      </c>
      <c r="O84" s="247" t="n">
        <f aca="false">O9</f>
        <v>0.510417785534041</v>
      </c>
      <c r="P84" s="248" t="n">
        <f aca="false">O10</f>
        <v>1</v>
      </c>
      <c r="Q84" s="248" t="n">
        <f aca="false">O11</f>
        <v>2</v>
      </c>
      <c r="R84" s="250" t="n">
        <f aca="false">F21</f>
        <v>10.6855</v>
      </c>
      <c r="S84" s="248" t="n">
        <f aca="false">K11</f>
        <v>0</v>
      </c>
      <c r="T84" s="248" t="n">
        <f aca="false">K12</f>
        <v>10</v>
      </c>
      <c r="U84" s="248" t="n">
        <f aca="false">K13</f>
        <v>3</v>
      </c>
      <c r="V84" s="251" t="n">
        <f aca="false">K14</f>
        <v>0</v>
      </c>
      <c r="W84" s="252" t="n">
        <f aca="false">K15</f>
        <v>7</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92</v>
      </c>
      <c r="Q86" s="8"/>
      <c r="R86" s="208"/>
      <c r="S86" s="8"/>
      <c r="T86" s="8"/>
      <c r="U86" s="8"/>
    </row>
    <row r="87" customFormat="false" ht="12.75" hidden="true" customHeight="false" outlineLevel="0" collapsed="false">
      <c r="P87" s="8" t="s">
        <v>93</v>
      </c>
      <c r="Q87" s="8"/>
      <c r="R87" s="208" t="n">
        <f aca="false">VLOOKUP(MAX($R$23:$R$82),($R$23:$T$82),1,0)</f>
        <v>36</v>
      </c>
      <c r="S87" s="8"/>
      <c r="T87" s="8"/>
      <c r="U87" s="8"/>
    </row>
    <row r="88" customFormat="false" ht="12.75" hidden="true" customHeight="false" outlineLevel="0" collapsed="false">
      <c r="P88" s="8" t="s">
        <v>94</v>
      </c>
      <c r="Q88" s="8"/>
      <c r="R88" s="208" t="n">
        <f aca="false">VLOOKUP((R87),($R$23:$T$82),2,0)</f>
        <v>36</v>
      </c>
      <c r="S88" s="8"/>
      <c r="T88" s="8"/>
      <c r="U88" s="8"/>
    </row>
    <row r="89" customFormat="false" ht="12.75" hidden="true" customHeight="false" outlineLevel="0" collapsed="false">
      <c r="P89" s="8" t="s">
        <v>95</v>
      </c>
      <c r="Q89" s="8"/>
      <c r="R89" s="208" t="n">
        <f aca="false">VLOOKUP((R87),($R$23:$T$82),3,0)</f>
        <v>3</v>
      </c>
      <c r="S89" s="8"/>
    </row>
    <row r="90" customFormat="false" ht="12.75" hidden="true" customHeight="false" outlineLevel="0" collapsed="false">
      <c r="P90" s="8" t="s">
        <v>96</v>
      </c>
      <c r="Q90" s="8"/>
      <c r="R90" s="254" t="n">
        <f aca="false">IF(ISERROR(SUM($S$23:$S$82)/SUM($T$23:$T$82)),"",(SUM($S$23:$S$82)-R88)/(SUM($T$23:$T$82)-R89))</f>
        <v>8.65957446808511</v>
      </c>
      <c r="S90" s="8"/>
    </row>
    <row r="91" customFormat="false" ht="12.75" hidden="true" customHeight="false" outlineLevel="0" collapsed="false">
      <c r="P91" s="207" t="s">
        <v>97</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98</v>
      </c>
      <c r="Q92" s="8"/>
      <c r="R92" s="8" t="n">
        <f aca="false">MATCH(R87,$R$23:$R$82,0)</f>
        <v>14</v>
      </c>
      <c r="S92" s="8"/>
    </row>
    <row r="93" customFormat="false" ht="12.75" hidden="true" customHeight="false" outlineLevel="0" collapsed="false">
      <c r="P93" s="207" t="s">
        <v>99</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2024-01-10T10:06:51Z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