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URON" sheetId="1" state="visible" r:id="rId3"/>
  </sheets>
  <externalReferences>
    <externalReference r:id="rId4"/>
  </externalReferences>
  <definedNames>
    <definedName function="false" hidden="false" localSheetId="0" name="_xlnm.Print_Area" vbProcedure="false">BURON!$A$1:$O$81</definedName>
    <definedName function="false" hidden="false" localSheetId="0" name="Excel_BuiltIn__FilterDatabase" vbProcedure="false">BURON!$A$23:$J$83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<sst xmlns="http://schemas.openxmlformats.org/spreadsheetml/2006/main" count="95" uniqueCount="91">
  <si>
    <t xml:space="preserve">Relevés floristiques aquatiques - IBMR</t>
  </si>
  <si>
    <t xml:space="preserve">GIS Macrophytes - juillet 2006</t>
  </si>
  <si>
    <t xml:space="preserve">ELEA</t>
  </si>
  <si>
    <t xml:space="preserve">A. Mignon et M.L. Wasier</t>
  </si>
  <si>
    <t xml:space="preserve">conforme AFNOR T90-395 oct. 2003</t>
  </si>
  <si>
    <t xml:space="preserve">BURON</t>
  </si>
  <si>
    <t xml:space="preserve">St-Priest-Bramefant</t>
  </si>
  <si>
    <t xml:space="preserve">04039200</t>
  </si>
  <si>
    <t xml:space="preserve">RCS Auvergne 08</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</si>
  <si>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</si>
  <si>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</si>
  <si>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</si>
  <si>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</si>
  <si>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</si>
  <si>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</si>
  <si>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</si>
  <si>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</si>
  <si>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</si>
  <si>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</si>
  <si>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</si>
  <si>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</si>
  <si>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</si>
  <si>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</si>
  <si>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</si>
  <si>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</si>
  <si>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</si>
  <si>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</si>
  <si>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</si>
  <si>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</si>
  <si>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</si>
  <si>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</si>
  <si>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</si>
  <si>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</si>
  <si>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</si>
  <si>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</si>
  <si>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</si>
  <si>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</si>
  <si>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</si>
  <si>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</si>
  <si>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</si>
  <si>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</si>
  <si>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</si>
  <si>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</si>
  <si>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</si>
  <si>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</si>
  <si>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</si>
  <si>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</si>
  <si>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</si>
  <si>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</si>
  <si>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</si>
  <si>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</si>
  <si>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</si>
  <si>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</si>
  <si>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</si>
  <si>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</si>
  <si>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</si>
  <si>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</si>
  <si>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</si>
  <si>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</si>
  <si>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</si>
  <si>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</si>
  <si>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</si>
  <si>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</si>
  <si>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</si>
  <si>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</si>
  <si>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</si>
  <si>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</si>
  <si>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</si>
  <si>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</si>
  <si>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</si>
  <si>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</si>
  <si>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</si>
  <si>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</si>
  <si>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</si>
  <si>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</si>
  <si>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</si>
  <si>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NEW.COD</t>
  </si>
  <si>
    <t xml:space="preserve">Gomphoneis sp.</t>
  </si>
  <si>
    <t xml:space="preserve">PHO.SPX</t>
  </si>
  <si>
    <t xml:space="preserve">VAU.SPX</t>
  </si>
  <si>
    <t xml:space="preserve">FIS.CRA</t>
  </si>
  <si>
    <t xml:space="preserve">PEL.END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</si>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</sst>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39679</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9.5</v>
      </c>
      <c r="M5" s="51"/>
      <c r="N5" s="52" t="s">
        <v>15</v>
      </c>
      <c r="O5" s="53" t="n">
        <v>9.4</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AVERAGE(I23:I81)</f>
        <v>9.5</v>
      </c>
      <c r="O8" s="82" t="n">
        <f aca="false">AVERAGE(J23:J81)</f>
        <v>1.5</v>
      </c>
      <c r="P8" s="8"/>
      <c r="Q8" s="8"/>
      <c r="R8" s="8"/>
      <c r="S8" s="8"/>
      <c r="T8" s="8"/>
      <c r="U8" s="8"/>
      <c r="V8" s="20"/>
      <c r="W8" s="21"/>
    </row>
    <row r="9" customFormat="false" ht="12.75" hidden="false" customHeight="false" outlineLevel="0" collapsed="false">
      <c r="A9" s="83" t="s">
        <v>28</v>
      </c>
      <c r="B9" s="84" t="n">
        <v>1.8</v>
      </c>
      <c r="C9" s="85" t="n">
        <v>0.8</v>
      </c>
      <c r="D9" s="86"/>
      <c r="E9" s="86"/>
      <c r="F9" s="87" t="n">
        <f aca="false">($B9*$B$7+$C9*$C$7)/100</f>
        <v>1.5</v>
      </c>
      <c r="G9" s="88"/>
      <c r="H9" s="89"/>
      <c r="I9" s="90"/>
      <c r="J9" s="91"/>
      <c r="K9" s="71"/>
      <c r="L9" s="92"/>
      <c r="M9" s="80" t="s">
        <v>29</v>
      </c>
      <c r="N9" s="81" t="n">
        <f aca="false">STDEV(I23:I81)</f>
        <v>3.67423461417477</v>
      </c>
      <c r="O9" s="82" t="n">
        <f aca="false">STDEV(J23:J81)</f>
        <v>0.547722557505166</v>
      </c>
      <c r="P9" s="8"/>
      <c r="Q9" s="8"/>
      <c r="R9" s="8"/>
      <c r="S9" s="8"/>
      <c r="T9" s="8"/>
      <c r="U9" s="8"/>
      <c r="V9" s="93"/>
      <c r="W9" s="94"/>
    </row>
    <row r="10" customFormat="false" ht="12.75" hidden="false" customHeight="false" outlineLevel="0" collapsed="false">
      <c r="A10" s="95" t="s">
        <v>30</v>
      </c>
      <c r="B10" s="96" t="n">
        <v>0.25</v>
      </c>
      <c r="C10" s="97" t="n">
        <v>0.25</v>
      </c>
      <c r="D10" s="98"/>
      <c r="E10" s="98"/>
      <c r="F10" s="87" t="n">
        <f aca="false">($B10*$B$7+$C10*$C$7)/100</f>
        <v>0.25</v>
      </c>
      <c r="G10" s="88"/>
      <c r="H10" s="99"/>
      <c r="I10" s="100"/>
      <c r="J10" s="101" t="s">
        <v>31</v>
      </c>
      <c r="K10" s="101"/>
      <c r="L10" s="102"/>
      <c r="M10" s="103" t="s">
        <v>32</v>
      </c>
      <c r="N10" s="104" t="n">
        <f aca="false">MIN(I23:I81)</f>
        <v>4</v>
      </c>
      <c r="O10" s="105" t="n">
        <f aca="false">MIN(J23:J81)</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COUNTIF($G$23:$G$81,"=HET")</f>
        <v>0</v>
      </c>
      <c r="L11" s="114"/>
      <c r="M11" s="103" t="s">
        <v>35</v>
      </c>
      <c r="N11" s="104" t="n">
        <f aca="false">MAX(I23:I81)</f>
        <v>13</v>
      </c>
      <c r="O11" s="105" t="n">
        <f aca="false">MAX(J23:J81)</f>
        <v>2</v>
      </c>
      <c r="P11" s="8"/>
      <c r="Q11" s="8"/>
      <c r="R11" s="8"/>
      <c r="S11" s="8"/>
      <c r="T11" s="8"/>
      <c r="U11" s="8"/>
    </row>
    <row r="12" customFormat="false" ht="12.75" hidden="false" customHeight="false" outlineLevel="0" collapsed="false">
      <c r="A12" s="115" t="s">
        <v>36</v>
      </c>
      <c r="B12" s="116" t="n">
        <v>1.8</v>
      </c>
      <c r="C12" s="117" t="n">
        <v>0.8</v>
      </c>
      <c r="D12" s="109"/>
      <c r="E12" s="109"/>
      <c r="F12" s="110" t="n">
        <f aca="false">($B12*$B$7+$C12*$C$7)/100</f>
        <v>1.5</v>
      </c>
      <c r="G12" s="118"/>
      <c r="H12" s="66"/>
      <c r="I12" s="119" t="s">
        <v>37</v>
      </c>
      <c r="J12" s="119"/>
      <c r="K12" s="113" t="n">
        <f aca="false">COUNTIF($G$23:$G$81,"=ALG")</f>
        <v>5</v>
      </c>
      <c r="L12" s="120"/>
      <c r="M12" s="121"/>
      <c r="N12" s="122" t="s">
        <v>31</v>
      </c>
      <c r="O12" s="123"/>
      <c r="P12" s="8"/>
      <c r="Q12" s="8"/>
      <c r="R12" s="8"/>
      <c r="S12" s="8"/>
      <c r="T12" s="8"/>
      <c r="U12" s="8"/>
    </row>
    <row r="13" customFormat="false" ht="12.75" hidden="false" customHeight="false" outlineLevel="0" collapsed="false">
      <c r="A13" s="115" t="s">
        <v>38</v>
      </c>
      <c r="B13" s="116" t="n">
        <v>0.05</v>
      </c>
      <c r="C13" s="117" t="n">
        <v>0.02</v>
      </c>
      <c r="D13" s="109"/>
      <c r="E13" s="109"/>
      <c r="F13" s="110" t="n">
        <f aca="false">($B13*$B$7+$C13*$C$7)/100</f>
        <v>0.041</v>
      </c>
      <c r="G13" s="118"/>
      <c r="H13" s="66"/>
      <c r="I13" s="119" t="s">
        <v>39</v>
      </c>
      <c r="J13" s="119"/>
      <c r="K13" s="113" t="n">
        <f aca="false">COUNTIF($G$23:$G$81,"=BRm")+COUNTIF($G$23:$G$81,"=BRh")</f>
        <v>2</v>
      </c>
      <c r="L13" s="114"/>
      <c r="M13" s="124" t="s">
        <v>40</v>
      </c>
      <c r="N13" s="125" t="n">
        <f aca="false">COUNTIF(F23:F81,"&gt;0")</f>
        <v>8</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COUNTIF($G$23:$G$81,"=PTE")</f>
        <v>0</v>
      </c>
      <c r="L14" s="114"/>
      <c r="M14" s="127" t="s">
        <v>43</v>
      </c>
      <c r="N14" s="128" t="n">
        <f aca="false">COUNTIF($I$23:$I$81,"&gt;-1")</f>
        <v>6</v>
      </c>
      <c r="O14" s="129"/>
      <c r="P14" s="8"/>
      <c r="Q14" s="8"/>
      <c r="R14" s="8"/>
      <c r="S14" s="8"/>
      <c r="T14" s="8"/>
      <c r="U14" s="8"/>
    </row>
    <row r="15" customFormat="false" ht="12.75" hidden="false" customHeight="false" outlineLevel="0" collapsed="false">
      <c r="A15" s="130" t="s">
        <v>44</v>
      </c>
      <c r="B15" s="131"/>
      <c r="C15" s="132"/>
      <c r="D15" s="109"/>
      <c r="E15" s="109"/>
      <c r="F15" s="110" t="n">
        <f aca="false">($B15*$B$7+$C15*$C$7)/100</f>
        <v>0</v>
      </c>
      <c r="G15" s="118"/>
      <c r="H15" s="66"/>
      <c r="I15" s="119" t="s">
        <v>45</v>
      </c>
      <c r="J15" s="119"/>
      <c r="K15" s="113" t="n">
        <f aca="false">(COUNTIF($G$23:$G$81,"=PHy"))+(COUNTIF($G$23:$G$81,"=PHe"))+(COUNTIF($G$23:$G$81,"=PHg"))+(COUNTIF($G$23:$G$81,"=PHx"))</f>
        <v>0</v>
      </c>
      <c r="L15" s="114"/>
      <c r="M15" s="133" t="s">
        <v>46</v>
      </c>
      <c r="N15" s="134" t="n">
        <f aca="false">COUNTIF(J23:J81,"=1")</f>
        <v>3</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COUNTIF(J23:J81,"=2")</f>
        <v>3</v>
      </c>
      <c r="O16" s="135"/>
      <c r="P16" s="8"/>
      <c r="Q16" s="8"/>
      <c r="R16" s="8"/>
      <c r="S16" s="8"/>
      <c r="T16" s="8"/>
      <c r="U16" s="8"/>
    </row>
    <row r="17" customFormat="false" ht="12.75" hidden="false" customHeight="false" outlineLevel="0" collapsed="false">
      <c r="A17" s="115" t="s">
        <v>49</v>
      </c>
      <c r="B17" s="116" t="n">
        <v>1.85</v>
      </c>
      <c r="C17" s="117" t="n">
        <v>0.82</v>
      </c>
      <c r="D17" s="109"/>
      <c r="E17" s="109"/>
      <c r="F17" s="139"/>
      <c r="G17" s="110" t="n">
        <f aca="false">($B17*$B$7+$C17*$C$7)/100</f>
        <v>1.541</v>
      </c>
      <c r="H17" s="66"/>
      <c r="I17" s="119"/>
      <c r="J17" s="119"/>
      <c r="K17" s="138"/>
      <c r="L17" s="114"/>
      <c r="M17" s="133" t="s">
        <v>50</v>
      </c>
      <c r="N17" s="134" t="n">
        <f aca="false">COUNTIF(J23:J81,"=3")</f>
        <v>0</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1.541</v>
      </c>
      <c r="G19" s="151" t="n">
        <f aca="false">SUM(G16:G18)</f>
        <v>1.541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SUM(B23:B81)</f>
        <v>1.85</v>
      </c>
      <c r="C20" s="160" t="n">
        <f aca="false">SUM(C23:C81)</f>
        <v>0.82</v>
      </c>
      <c r="D20" s="161"/>
      <c r="E20" s="162" t="s">
        <v>52</v>
      </c>
      <c r="F20" s="163" t="n">
        <f aca="false">($B20*$B$7+$C20*$C$7)/100</f>
        <v>1.541</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1.295</v>
      </c>
      <c r="C21" s="172" t="n">
        <f aca="false">C20*C7/100</f>
        <v>0.246</v>
      </c>
      <c r="D21" s="109" t="str">
        <f aca="false">IF(F21=0,"",IF((ABS(F21-F19))&gt;(0.2*F21),CONCATENATE(" rec. par taxa (",F21," %) supérieur à 20 % !"),""))</f>
        <v/>
      </c>
      <c r="E21" s="173" t="str">
        <f aca="false">IF(F21=0,"",IF((ABS(F21-F19))&gt;(0.2*F21),CONCATENATE("ATTENTION : écart entre rec. par grp (",F19," %) ","et",""),""))</f>
        <v/>
      </c>
      <c r="F21" s="174" t="n">
        <f aca="false">B21+C21</f>
        <v>1.541</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0.5</v>
      </c>
      <c r="C23" s="196"/>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0.35</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75</v>
      </c>
      <c r="B24" s="212" t="n">
        <v>0.1</v>
      </c>
      <c r="C24" s="213" t="n">
        <v>0.05</v>
      </c>
      <c r="D24" s="214" t="str">
        <f aca="false">IF(ISERROR(VLOOKUP($A24,'[1]liste reference'!$A$7:$D$906,2,0)),IF(ISERROR(VLOOKUP($A24,'[1]liste reference'!$B$7:$D$906,1,0)),"",VLOOKUP($A24,'[1]liste reference'!$B$7:$D$906,1,0)),VLOOKUP($A24,'[1]liste reference'!$A$7:$D$906,2,0))</f>
        <v>Diatoma sp.</v>
      </c>
      <c r="E24" s="214" t="e">
        <f aca="false">IF(D24="",0,VLOOKUP(D24,D$22:D23,1,0))</f>
        <v>#N/A</v>
      </c>
      <c r="F24" s="215" t="n">
        <f aca="false">($B24*$B$7+$C24*$C$7)/100</f>
        <v>0.085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Diatoma sp.</v>
      </c>
      <c r="L24" s="219"/>
      <c r="M24" s="219"/>
      <c r="N24" s="219"/>
      <c r="O24" s="205"/>
      <c r="P24" s="206" t="n">
        <f aca="false">IF(ISTEXT(H24),"",(B24*$B$7/100)+(C24*$C$7/100))</f>
        <v>0.085</v>
      </c>
      <c r="Q24" s="207" t="n">
        <f aca="false">IF(OR(ISTEXT(H24),P24=0),"",IF(P24&lt;0.1,1,IF(P24&lt;1,2,IF(P24&lt;10,3,IF(P24&lt;50,4,IF(P24&gt;=50,5,""))))))</f>
        <v>1</v>
      </c>
      <c r="R24" s="207" t="n">
        <f aca="false">IF(ISERROR(Q24*I24),0,Q24*I24)</f>
        <v>12</v>
      </c>
      <c r="S24" s="207" t="n">
        <f aca="false">IF(ISERROR(Q24*I24*J24),0,Q24*I24*J24)</f>
        <v>24</v>
      </c>
      <c r="T24" s="220"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194" t="s">
        <v>15</v>
      </c>
      <c r="B25" s="212" t="n">
        <v>0.1</v>
      </c>
      <c r="C25" s="213" t="n">
        <v>0.2</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0.13</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0.13</v>
      </c>
      <c r="Q25" s="207" t="n">
        <f aca="false">IF(OR(ISTEXT(H25),P25=0),"",IF(P25&lt;0.1,1,IF(P25&lt;1,2,IF(P25&lt;10,3,IF(P25&lt;50,4,IF(P25&gt;=50,5,""))))))</f>
        <v>2</v>
      </c>
      <c r="R25" s="207" t="n">
        <f aca="false">IF(ISERROR(Q25*I25),0,Q25*I25)</f>
        <v>20</v>
      </c>
      <c r="S25" s="207" t="n">
        <f aca="false">IF(ISERROR(Q25*I25*J25),0,Q25*I25*J25)</f>
        <v>20</v>
      </c>
      <c r="T25" s="220" t="n">
        <f aca="false">IF(ISERROR(Q25*J25),0,Q25*J25)</f>
        <v>2</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194" t="s">
        <v>76</v>
      </c>
      <c r="B26" s="212" t="n">
        <v>0.05</v>
      </c>
      <c r="C26" s="213"/>
      <c r="D26" s="214" t="str">
        <f aca="false">IF(ISERROR(VLOOKUP($A26,'[1]liste reference'!$A$7:$D$906,2,0)),IF(ISERROR(VLOOKUP($A26,'[1]liste reference'!$B$7:$D$906,1,0)),"",VLOOKUP($A26,'[1]liste reference'!$B$7:$D$906,1,0)),VLOOKUP($A26,'[1]liste reference'!$A$7:$D$906,2,0))</f>
        <v/>
      </c>
      <c r="E26" s="214" t="n">
        <f aca="false">IF(D26="",0,VLOOKUP(D26,D$22:D25,1,0))</f>
        <v>0</v>
      </c>
      <c r="F26" s="215" t="n">
        <f aca="false">($B26*$B$7+$C26*$C$7)/100</f>
        <v>0.035</v>
      </c>
      <c r="G26" s="216" t="str">
        <f aca="false">IF(A26="","",IF(ISERROR(VLOOKUP($A26,'[1]liste reference'!$A$7:$P$906,13,0)),IF(ISERROR(VLOOKUP($A26,'[1]liste reference'!$B$7:$P$906,12,0)),"    -",VLOOKUP($A26,'[1]liste reference'!$B$7:$P$906,12,0)),VLOOKUP($A26,'[1]liste reference'!$A$7:$P$906,13,0)))</f>
        <v>    -</v>
      </c>
      <c r="H26" s="200" t="str">
        <f aca="false">IF(A26="","x",IF(ISERROR(VLOOKUP($A26,'[1]liste reference'!$A$7:$P$906,14,0)),IF(ISERROR(VLOOKUP($A26,'[1]liste reference'!$B$7:$P$906,13,0)),"x",VLOOKUP($A26,'[1]liste reference'!$B$7:$P$906,13,0)),VLOOKUP($A26,'[1]liste reference'!$A$7:$P$906,14,0)))</f>
        <v>x</v>
      </c>
      <c r="I26" s="217"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8" t="str">
        <f aca="false">IF(A26="NEW.COD",AA26,IF(ISTEXT($E26),"DEJA SAISI !",IF(A26="","",IF(ISERROR(VLOOKUP($A26,'[1]liste reference'!$A$7:$D$906,2,0)),IF(ISERROR(VLOOKUP($A26,'[1]liste reference'!$B$7:$D$906,1,0)),"code non répertorié ou synonyme",VLOOKUP($A26,'[1]liste reference'!$B$7:$D$906,1,0)),VLOOKUP(A26,'[1]liste reference'!$A$7:$D$906,2,0)))))</f>
        <v>Gomphoneis sp.</v>
      </c>
      <c r="L26" s="219"/>
      <c r="M26" s="219"/>
      <c r="N26" s="219"/>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0" t="n">
        <f aca="false">IF(ISERROR(Q26*J26),0,Q26*J26)</f>
        <v>0</v>
      </c>
      <c r="U26" s="208" t="str">
        <f aca="false">IF(AND(A26="",F26=0),"",IF(F26=0,"Il manque le(s) % de rec. !",""))</f>
        <v/>
      </c>
      <c r="V26" s="209"/>
      <c r="X26" s="207"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0"/>
      <c r="AA26" s="211" t="s">
        <v>77</v>
      </c>
      <c r="BB26" s="8" t="n">
        <f aca="false">IF(A26="","",1)</f>
        <v>1</v>
      </c>
    </row>
    <row r="27" customFormat="false" ht="12.75" hidden="false" customHeight="false" outlineLevel="0" collapsed="false">
      <c r="A27" s="194" t="s">
        <v>78</v>
      </c>
      <c r="B27" s="212" t="n">
        <v>0.05</v>
      </c>
      <c r="C27" s="213" t="n">
        <v>0.05</v>
      </c>
      <c r="D27" s="214" t="str">
        <f aca="false">IF(ISERROR(VLOOKUP($A27,'[1]liste reference'!$A$7:$D$906,2,0)),IF(ISERROR(VLOOKUP($A27,'[1]liste reference'!$B$7:$D$906,1,0)),"",VLOOKUP($A27,'[1]liste reference'!$B$7:$D$906,1,0)),VLOOKUP($A27,'[1]liste reference'!$A$7:$D$906,2,0))</f>
        <v>Phormidium sp.</v>
      </c>
      <c r="E27" s="214" t="e">
        <f aca="false">IF(D27="",0,VLOOKUP(D27,D$22:D26,1,0))</f>
        <v>#N/A</v>
      </c>
      <c r="F27" s="215" t="n">
        <f aca="false">($B27*$B$7+$C27*$C$7)/100</f>
        <v>0.05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Phormidium sp.</v>
      </c>
      <c r="L27" s="219"/>
      <c r="M27" s="219"/>
      <c r="N27" s="219"/>
      <c r="O27" s="205"/>
      <c r="P27" s="206" t="n">
        <f aca="false">IF(ISTEXT(H27),"",(B27*$B$7/100)+(C27*$C$7/100))</f>
        <v>0.05</v>
      </c>
      <c r="Q27" s="207" t="n">
        <f aca="false">IF(OR(ISTEXT(H27),P27=0),"",IF(P27&lt;0.1,1,IF(P27&lt;1,2,IF(P27&lt;10,3,IF(P27&lt;50,4,IF(P27&gt;=50,5,""))))))</f>
        <v>1</v>
      </c>
      <c r="R27" s="207" t="n">
        <f aca="false">IF(ISERROR(Q27*I27),0,Q27*I27)</f>
        <v>13</v>
      </c>
      <c r="S27" s="207" t="n">
        <f aca="false">IF(ISERROR(Q27*I27*J27),0,Q27*I27*J27)</f>
        <v>26</v>
      </c>
      <c r="T27" s="220"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194" t="s">
        <v>79</v>
      </c>
      <c r="B28" s="212" t="n">
        <v>1</v>
      </c>
      <c r="C28" s="213" t="n">
        <v>0.5</v>
      </c>
      <c r="D28" s="214" t="str">
        <f aca="false">IF(ISERROR(VLOOKUP($A28,'[1]liste reference'!$A$7:$D$906,2,0)),IF(ISERROR(VLOOKUP($A28,'[1]liste reference'!$B$7:$D$906,1,0)),"",VLOOKUP($A28,'[1]liste reference'!$B$7:$D$906,1,0)),VLOOKUP($A28,'[1]liste reference'!$A$7:$D$906,2,0))</f>
        <v>Vaucheria sp.</v>
      </c>
      <c r="E28" s="214" t="e">
        <f aca="false">IF(D28="",0,VLOOKUP(D28,D$22:D27,1,0))</f>
        <v>#N/A</v>
      </c>
      <c r="F28" s="215" t="n">
        <f aca="false">($B28*$B$7+$C28*$C$7)/100</f>
        <v>0.85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Vaucheria sp.</v>
      </c>
      <c r="L28" s="219"/>
      <c r="M28" s="219"/>
      <c r="N28" s="219"/>
      <c r="O28" s="205"/>
      <c r="P28" s="206" t="n">
        <f aca="false">IF(ISTEXT(H28),"",(B28*$B$7/100)+(C28*$C$7/100))</f>
        <v>0.85</v>
      </c>
      <c r="Q28" s="207" t="n">
        <f aca="false">IF(OR(ISTEXT(H28),P28=0),"",IF(P28&lt;0.1,1,IF(P28&lt;1,2,IF(P28&lt;10,3,IF(P28&lt;50,4,IF(P28&gt;=50,5,""))))))</f>
        <v>2</v>
      </c>
      <c r="R28" s="207" t="n">
        <f aca="false">IF(ISERROR(Q28*I28),0,Q28*I28)</f>
        <v>8</v>
      </c>
      <c r="S28" s="207" t="n">
        <f aca="false">IF(ISERROR(Q28*I28*J28),0,Q28*I28*J28)</f>
        <v>8</v>
      </c>
      <c r="T28" s="220" t="n">
        <f aca="false">IF(ISERROR(Q28*J28),0,Q28*J28)</f>
        <v>2</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194" t="s">
        <v>80</v>
      </c>
      <c r="B29" s="212" t="n">
        <v>0.05</v>
      </c>
      <c r="C29" s="213"/>
      <c r="D29" s="214" t="str">
        <f aca="false">IF(ISERROR(VLOOKUP($A29,'[1]liste reference'!$A$7:$D$906,2,0)),IF(ISERROR(VLOOKUP($A29,'[1]liste reference'!$B$7:$D$906,1,0)),"",VLOOKUP($A29,'[1]liste reference'!$B$7:$D$906,1,0)),VLOOKUP($A29,'[1]liste reference'!$A$7:$D$906,2,0))</f>
        <v>Fissidens crassipes</v>
      </c>
      <c r="E29" s="214" t="e">
        <f aca="false">IF(D29="",0,VLOOKUP(D29,D$22:D28,1,0))</f>
        <v>#N/A</v>
      </c>
      <c r="F29" s="215" t="n">
        <f aca="false">($B29*$B$7+$C29*$C$7)/100</f>
        <v>0.035</v>
      </c>
      <c r="G29" s="216"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7"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Fissidens crassipes</v>
      </c>
      <c r="L29" s="219"/>
      <c r="M29" s="219"/>
      <c r="N29" s="219"/>
      <c r="O29" s="205"/>
      <c r="P29" s="206" t="n">
        <f aca="false">IF(ISTEXT(H29),"",(B29*$B$7/100)+(C29*$C$7/100))</f>
        <v>0.035</v>
      </c>
      <c r="Q29" s="207" t="n">
        <f aca="false">IF(OR(ISTEXT(H29),P29=0),"",IF(P29&lt;0.1,1,IF(P29&lt;1,2,IF(P29&lt;10,3,IF(P29&lt;50,4,IF(P29&gt;=50,5,""))))))</f>
        <v>1</v>
      </c>
      <c r="R29" s="207" t="n">
        <f aca="false">IF(ISERROR(Q29*I29),0,Q29*I29)</f>
        <v>12</v>
      </c>
      <c r="S29" s="207" t="n">
        <f aca="false">IF(ISERROR(Q29*I29*J29),0,Q29*I29*J29)</f>
        <v>24</v>
      </c>
      <c r="T29" s="220" t="n">
        <f aca="false">IF(ISERROR(Q29*J29),0,Q29*J29)</f>
        <v>2</v>
      </c>
      <c r="U29" s="208" t="str">
        <f aca="false">IF(AND(A29="",F29=0),"",IF(F29=0,"Il manque le(s) % de rec. !",""))</f>
        <v/>
      </c>
      <c r="V29" s="209"/>
      <c r="X29" s="207" t="str">
        <f aca="false">IF(A29="new.cod","NEW.COD",IF(AND((Y29=""),ISTEXT(A29)),A29,IF(Y29="","",INDEX('[1]liste reference'!$A$7:$A$906,Y29))))</f>
        <v>FIS.CRA</v>
      </c>
      <c r="Y29" s="8" t="n">
        <f aca="false">IF(ISERROR(MATCH(A29,'[1]liste reference'!$A$7:$A$906,0)),IF(ISERROR(MATCH(A29,'[1]liste reference'!$B$7:$B$906,0)),"",(MATCH(A29,'[1]liste reference'!$B$7:$B$906,0))),(MATCH(A29,'[1]liste reference'!$A$7:$A$906,0)))</f>
        <v>198</v>
      </c>
      <c r="Z29" s="210"/>
      <c r="AA29" s="211"/>
      <c r="BB29" s="8" t="n">
        <f aca="false">IF(A29="","",1)</f>
        <v>1</v>
      </c>
    </row>
    <row r="30" customFormat="false" ht="12.75" hidden="false" customHeight="false" outlineLevel="0" collapsed="false">
      <c r="A30" s="194" t="s">
        <v>81</v>
      </c>
      <c r="B30" s="212"/>
      <c r="C30" s="213" t="n">
        <v>0.02</v>
      </c>
      <c r="D30" s="214" t="str">
        <f aca="false">IF(ISERROR(VLOOKUP($A30,'[1]liste reference'!$A$7:$D$906,2,0)),IF(ISERROR(VLOOKUP($A30,'[1]liste reference'!$B$7:$D$906,1,0)),"",VLOOKUP($A30,'[1]liste reference'!$B$7:$D$906,1,0)),VLOOKUP($A30,'[1]liste reference'!$A$7:$D$906,2,0))</f>
        <v>Pellia endiviifolia</v>
      </c>
      <c r="E30" s="214" t="e">
        <f aca="false">IF(D30="",0,VLOOKUP(D30,D$21:D29,1,0))</f>
        <v>#N/A</v>
      </c>
      <c r="F30" s="215" t="n">
        <f aca="false">($B30*$B$7+$C30*$C$7)/100</f>
        <v>0.006</v>
      </c>
      <c r="G30" s="216"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7"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8" t="str">
        <f aca="false">IF(A30="NEW.COD",AA30,IF(ISTEXT($E30),"DEJA SAISI !",IF(A30="","",IF(ISERROR(VLOOKUP($A30,'[1]liste reference'!$A$7:$D$906,2,0)),IF(ISERROR(VLOOKUP($A30,'[1]liste reference'!$B$7:$D$906,1,0)),"code non répertorié ou synonyme",VLOOKUP($A30,'[1]liste reference'!$B$7:$D$906,1,0)),VLOOKUP(A30,'[1]liste reference'!$A$7:$D$906,2,0)))))</f>
        <v>Pellia endiviifolia</v>
      </c>
      <c r="L30" s="219"/>
      <c r="M30" s="219"/>
      <c r="N30" s="219"/>
      <c r="O30" s="205"/>
      <c r="P30" s="206" t="n">
        <f aca="false">IF(ISTEXT(H30),"",(B30*$B$7/100)+(C30*$C$7/100))</f>
        <v>0.006</v>
      </c>
      <c r="Q30" s="207" t="n">
        <f aca="false">IF(OR(ISTEXT(H30),P30=0),"",IF(P30&lt;0.1,1,IF(P30&lt;1,2,IF(P30&lt;10,3,IF(P30&lt;50,4,IF(P30&gt;=50,5,""))))))</f>
        <v>1</v>
      </c>
      <c r="R30" s="207" t="n">
        <f aca="false">IF(ISERROR(Q30*I30),0,Q30*I30)</f>
        <v>0</v>
      </c>
      <c r="S30" s="207" t="n">
        <f aca="false">IF(ISERROR(Q30*I30*J30),0,Q30*I30*J30)</f>
        <v>0</v>
      </c>
      <c r="T30" s="220" t="n">
        <f aca="false">IF(ISERROR(Q30*J30),0,Q30*J30)</f>
        <v>0</v>
      </c>
      <c r="U30" s="208" t="str">
        <f aca="false">IF(AND(A30="",F30=0),"",IF(F30=0,"Il manque le(s) % de rec. !",""))</f>
        <v/>
      </c>
      <c r="V30" s="209"/>
      <c r="W30" s="221"/>
      <c r="X30" s="207" t="str">
        <f aca="false">IF(A30="new.cod","NEW.COD",IF(AND((Y30=""),ISTEXT(A30)),A30,IF(Y30="","",INDEX('[1]liste reference'!$A$7:$A$906,Y30))))</f>
        <v>PEL.END</v>
      </c>
      <c r="Y30" s="8" t="n">
        <f aca="false">IF(ISERROR(MATCH(A30,'[1]liste reference'!$A$7:$A$906,0)),IF(ISERROR(MATCH(A30,'[1]liste reference'!$B$7:$B$906,0)),"",(MATCH(A30,'[1]liste reference'!$B$7:$B$906,0))),(MATCH(A30,'[1]liste reference'!$A$7:$A$906,0)))</f>
        <v>121</v>
      </c>
      <c r="Z30" s="210"/>
      <c r="AA30" s="211"/>
      <c r="BB30" s="8" t="n">
        <f aca="false">IF(A30="","",1)</f>
        <v>1</v>
      </c>
    </row>
    <row r="31" customFormat="false" ht="12.75" hidden="false" customHeight="false" outlineLevel="0" collapsed="false">
      <c r="A31" s="194"/>
      <c r="B31" s="212"/>
      <c r="C31" s="213"/>
      <c r="D31" s="214" t="str">
        <f aca="false">IF(ISERROR(VLOOKUP($A31,'[1]liste reference'!$A$7:$D$906,2,0)),IF(ISERROR(VLOOKUP($A31,'[1]liste reference'!$B$7:$D$906,1,0)),"",VLOOKUP($A31,'[1]liste reference'!$B$7:$D$906,1,0)),VLOOKUP($A31,'[1]liste reference'!$A$7:$D$906,2,0))</f>
        <v/>
      </c>
      <c r="E31" s="214" t="n">
        <f aca="false">IF(D31="",0,VLOOKUP(D31,D$22:D30,1,0))</f>
        <v>0</v>
      </c>
      <c r="F31" s="215" t="n">
        <f aca="false">($B31*$B$7+$C31*$C$7)/100</f>
        <v>0</v>
      </c>
      <c r="G31" s="216"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7"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8" t="str">
        <f aca="false">IF(A31="NEW.COD",AA31,IF(ISTEXT($E31),"DEJA SAISI !",IF(A31="","",IF(ISERROR(VLOOKUP($A31,'[1]liste reference'!$A$7:$D$906,2,0)),IF(ISERROR(VLOOKUP($A31,'[1]liste reference'!$B$7:$D$906,1,0)),"code non répertorié ou synonyme",VLOOKUP($A31,'[1]liste reference'!$B$7:$D$906,1,0)),VLOOKUP(A31,'[1]liste reference'!$A$7:$D$906,2,0)))))</f>
        <v/>
      </c>
      <c r="L31" s="219"/>
      <c r="M31" s="219"/>
      <c r="N31" s="219"/>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0"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194"/>
      <c r="B32" s="212"/>
      <c r="C32" s="213"/>
      <c r="D32" s="214" t="str">
        <f aca="false">IF(ISERROR(VLOOKUP($A32,'[1]liste reference'!$A$7:$D$906,2,0)),IF(ISERROR(VLOOKUP($A32,'[1]liste reference'!$B$7:$D$906,1,0)),"",VLOOKUP($A32,'[1]liste reference'!$B$7:$D$906,1,0)),VLOOKUP($A32,'[1]liste reference'!$A$7:$D$906,2,0))</f>
        <v/>
      </c>
      <c r="E32" s="214" t="n">
        <f aca="false">IF(D32="",0,VLOOKUP(D32,D$22:D31,1,0))</f>
        <v>0</v>
      </c>
      <c r="F32" s="215" t="n">
        <f aca="false">($B32*$B$7+$C32*$C$7)/100</f>
        <v>0</v>
      </c>
      <c r="G32" s="216"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7"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8" t="str">
        <f aca="false">IF(A32="NEW.COD",AA32,IF(ISTEXT($E32),"DEJA SAISI !",IF(A32="","",IF(ISERROR(VLOOKUP($A32,'[1]liste reference'!$A$7:$D$906,2,0)),IF(ISERROR(VLOOKUP($A32,'[1]liste reference'!$B$7:$D$906,1,0)),"code non répertorié ou synonyme",VLOOKUP($A32,'[1]liste reference'!$B$7:$D$906,1,0)),VLOOKUP(A32,'[1]liste reference'!$A$7:$D$906,2,0)))))</f>
        <v/>
      </c>
      <c r="L32" s="222"/>
      <c r="M32" s="222"/>
      <c r="N32" s="222"/>
      <c r="O32" s="223"/>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0"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194"/>
      <c r="B33" s="212"/>
      <c r="C33" s="213"/>
      <c r="D33" s="214" t="str">
        <f aca="false">IF(ISERROR(VLOOKUP($A33,'[1]liste reference'!$A$7:$D$906,2,0)),IF(ISERROR(VLOOKUP($A33,'[1]liste reference'!$B$7:$D$906,1,0)),"",VLOOKUP($A33,'[1]liste reference'!$B$7:$D$906,1,0)),VLOOKUP($A33,'[1]liste reference'!$A$7:$D$906,2,0))</f>
        <v/>
      </c>
      <c r="E33" s="214" t="n">
        <f aca="false">IF(D33="",0,VLOOKUP(D33,D$22:D32,1,0))</f>
        <v>0</v>
      </c>
      <c r="F33" s="224" t="n">
        <f aca="false">($B33*$B$7+$C33*$C$7)/100</f>
        <v>0</v>
      </c>
      <c r="G33" s="216"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7"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8" t="str">
        <f aca="false">IF(A33="NEW.COD",AA33,IF(ISTEXT($E33),"DEJA SAISI !",IF(A33="","",IF(ISERROR(VLOOKUP($A33,'[1]liste reference'!$A$7:$D$906,2,0)),IF(ISERROR(VLOOKUP($A33,'[1]liste reference'!$B$7:$D$906,1,0)),"code non répertorié ou synonyme",VLOOKUP($A33,'[1]liste reference'!$B$7:$D$906,1,0)),VLOOKUP(A33,'[1]liste reference'!$A$7:$D$906,2,0)))))</f>
        <v/>
      </c>
      <c r="L33" s="222"/>
      <c r="M33" s="222"/>
      <c r="N33" s="222"/>
      <c r="O33" s="223"/>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0"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194"/>
      <c r="B34" s="212"/>
      <c r="C34" s="213"/>
      <c r="D34" s="214" t="str">
        <f aca="false">IF(ISERROR(VLOOKUP($A34,'[1]liste reference'!$A$7:$D$906,2,0)),IF(ISERROR(VLOOKUP($A34,'[1]liste reference'!$B$7:$D$906,1,0)),"",VLOOKUP($A34,'[1]liste reference'!$B$7:$D$906,1,0)),VLOOKUP($A34,'[1]liste reference'!$A$7:$D$906,2,0))</f>
        <v/>
      </c>
      <c r="E34" s="214" t="n">
        <f aca="false">IF(D34="",0,VLOOKUP(D34,D$22:D33,1,0))</f>
        <v>0</v>
      </c>
      <c r="F34" s="224" t="n">
        <f aca="false">($B34*$B$7+$C34*$C$7)/100</f>
        <v>0</v>
      </c>
      <c r="G34" s="216"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
      </c>
      <c r="L34" s="219"/>
      <c r="M34" s="219"/>
      <c r="N34" s="219"/>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0"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194"/>
      <c r="B35" s="212"/>
      <c r="C35" s="213"/>
      <c r="D35" s="214" t="str">
        <f aca="false">IF(ISERROR(VLOOKUP($A35,'[1]liste reference'!$A$7:$D$906,2,0)),IF(ISERROR(VLOOKUP($A35,'[1]liste reference'!$B$7:$D$906,1,0)),"",VLOOKUP($A35,'[1]liste reference'!$B$7:$D$906,1,0)),VLOOKUP($A35,'[1]liste reference'!$A$7:$D$906,2,0))</f>
        <v/>
      </c>
      <c r="E35" s="214" t="n">
        <f aca="false">IF(D35="",0,VLOOKUP(D35,D$22:D34,1,0))</f>
        <v>0</v>
      </c>
      <c r="F35" s="224" t="n">
        <f aca="false">($B35*$B$7+$C35*$C$7)/100</f>
        <v>0</v>
      </c>
      <c r="G35" s="216"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7"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8" t="str">
        <f aca="false">IF(A35="NEW.COD",AA35,IF(ISTEXT($E35),"DEJA SAISI !",IF(A35="","",IF(ISERROR(VLOOKUP($A35,'[1]liste reference'!$A$7:$D$906,2,0)),IF(ISERROR(VLOOKUP($A35,'[1]liste reference'!$B$7:$D$906,1,0)),"code non répertorié ou synonyme",VLOOKUP($A35,'[1]liste reference'!$B$7:$D$906,1,0)),VLOOKUP(A35,'[1]liste reference'!$A$7:$D$906,2,0)))))</f>
        <v/>
      </c>
      <c r="L35" s="219"/>
      <c r="M35" s="219"/>
      <c r="N35" s="219"/>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0" t="n">
        <f aca="false">IF(ISERROR(Q35*J35),0,Q35*J35)</f>
        <v>0</v>
      </c>
      <c r="U35" s="208" t="str">
        <f aca="false">IF(AND(A35="",F35=0),"",IF(F35=0,"Il manque le(s) % de rec. !",""))</f>
        <v/>
      </c>
      <c r="V35" s="209"/>
      <c r="W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194"/>
      <c r="B36" s="212"/>
      <c r="C36" s="213"/>
      <c r="D36" s="214" t="str">
        <f aca="false">IF(ISERROR(VLOOKUP($A36,'[1]liste reference'!$A$7:$D$906,2,0)),IF(ISERROR(VLOOKUP($A36,'[1]liste reference'!$B$7:$D$906,1,0)),"",VLOOKUP($A36,'[1]liste reference'!$B$7:$D$906,1,0)),VLOOKUP($A36,'[1]liste reference'!$A$7:$D$906,2,0))</f>
        <v/>
      </c>
      <c r="E36" s="214" t="n">
        <f aca="false">IF(D36="",0,VLOOKUP(D36,D$22:D35,1,0))</f>
        <v>0</v>
      </c>
      <c r="F36" s="224" t="n">
        <f aca="false">($B36*$B$7+$C36*$C$7)/100</f>
        <v>0</v>
      </c>
      <c r="G36" s="216"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7"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8" t="str">
        <f aca="false">IF(A36="NEW.COD",AA36,IF(ISTEXT($E36),"DEJA SAISI !",IF(A36="","",IF(ISERROR(VLOOKUP($A36,'[1]liste reference'!$A$7:$D$906,2,0)),IF(ISERROR(VLOOKUP($A36,'[1]liste reference'!$B$7:$D$906,1,0)),"code non répertorié ou synonyme",VLOOKUP($A36,'[1]liste reference'!$B$7:$D$906,1,0)),VLOOKUP(A36,'[1]liste reference'!$A$7:$D$906,2,0)))))</f>
        <v/>
      </c>
      <c r="L36" s="219"/>
      <c r="M36" s="219"/>
      <c r="N36" s="219"/>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0"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194"/>
      <c r="B37" s="212"/>
      <c r="C37" s="213"/>
      <c r="D37" s="214" t="str">
        <f aca="false">IF(ISERROR(VLOOKUP($A37,'[1]liste reference'!$A$7:$D$906,2,0)),IF(ISERROR(VLOOKUP($A37,'[1]liste reference'!$B$7:$D$906,1,0)),"",VLOOKUP($A37,'[1]liste reference'!$B$7:$D$906,1,0)),VLOOKUP($A37,'[1]liste reference'!$A$7:$D$906,2,0))</f>
        <v/>
      </c>
      <c r="E37" s="214" t="n">
        <f aca="false">IF(D37="",0,VLOOKUP(D37,D$22:D36,1,0))</f>
        <v>0</v>
      </c>
      <c r="F37" s="224"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W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194"/>
      <c r="B38" s="212"/>
      <c r="C38" s="213"/>
      <c r="D38" s="214" t="str">
        <f aca="false">IF(ISERROR(VLOOKUP($A38,'[1]liste reference'!$A$7:$D$906,2,0)),IF(ISERROR(VLOOKUP($A38,'[1]liste reference'!$B$7:$D$906,1,0)),"",VLOOKUP($A38,'[1]liste reference'!$B$7:$D$906,1,0)),VLOOKUP($A38,'[1]liste reference'!$A$7:$D$906,2,0))</f>
        <v/>
      </c>
      <c r="E38" s="214" t="n">
        <f aca="false">IF(D38="",0,VLOOKUP(D38,D$22:D37,1,0))</f>
        <v>0</v>
      </c>
      <c r="F38" s="224" t="n">
        <f aca="false">($B38*$B$7+$C38*$C$7)/100</f>
        <v>0</v>
      </c>
      <c r="G38" s="216"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
      </c>
      <c r="L38" s="219"/>
      <c r="M38" s="219"/>
      <c r="N38" s="219"/>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0" t="n">
        <f aca="false">IF(ISERROR(Q38*J38),0,Q38*J38)</f>
        <v>0</v>
      </c>
      <c r="U38" s="208" t="str">
        <f aca="false">IF(AND(A38="",F38=0),"",IF(F38=0,"Il manque le(s) % de rec. !",""))</f>
        <v/>
      </c>
      <c r="V38" s="225"/>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4"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4"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4"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IF(D60="",0,VLOOKUP(D60,D$22:D53,1,0))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tru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IF(D75="",0,VLOOKUP(D75,D$22:D58,1,0))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IF(D76="",0,VLOOKUP(D76,D$22:D74,1,0))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IF(D77="",0,VLOOKUP(D77,D$22:D74,1,0))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IF(D78="",0,VLOOKUP(D78,D$22:D74,1,0))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IF(D80="",0,VLOOKUP(D80,D$21:D79,1,0))</f>
        <v>0</v>
      </c>
      <c r="F80" s="224"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22"/>
      <c r="M80" s="222"/>
      <c r="N80" s="222"/>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W80" s="226"/>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27"/>
      <c r="B81" s="228"/>
      <c r="C81" s="229"/>
      <c r="D81" s="230" t="str">
        <f aca="false">IF(ISERROR(VLOOKUP($A81,'[1]liste reference'!$A$7:$D$906,2,0)),IF(ISERROR(VLOOKUP($A81,'[1]liste reference'!$B$7:$D$906,1,0)),"",VLOOKUP($A81,'[1]liste reference'!$B$7:$D$906,1,0)),VLOOKUP($A81,'[1]liste reference'!$A$7:$D$906,2,0))</f>
        <v/>
      </c>
      <c r="E81" s="231" t="n">
        <f aca="false">IF(D81="",0,VLOOKUP(D81,D$20:D79,1,0))</f>
        <v>0</v>
      </c>
      <c r="F81" s="232" t="n">
        <f aca="false">($B81*$B$7+$C81*$C$7)/100</f>
        <v>0</v>
      </c>
      <c r="G81" s="233"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34" t="str">
        <f aca="false">IF(ISNUMBER(H81),IF(ISERROR(VLOOKUP($A81,'[1]liste reference'!$A$7:$P$906,3,0)),IF(ISERROR(VLOOKUP($A81,'[1]liste reference'!$B$7:$P$906,2,0)),"",VLOOKUP($A81,'[1]liste reference'!$B$7:$P$906,2,0)),VLOOKUP($A81,'[1]liste reference'!$A$7:$P$906,3,0)),"")</f>
        <v/>
      </c>
      <c r="J81" s="234" t="str">
        <f aca="false">IF(ISNUMBER(H81),IF(ISERROR(VLOOKUP($A81,'[1]liste reference'!$A$7:$P$906,4,0)),IF(ISERROR(VLOOKUP($A81,'[1]liste reference'!$B$7:$P$906,3,0)),"",VLOOKUP($A81,'[1]liste reference'!$B$7:$P$906,3,0)),VLOOKUP($A81,'[1]liste reference'!$A$7:$P$906,4,0)),"")</f>
        <v/>
      </c>
      <c r="K81" s="235" t="str">
        <f aca="false">IF(A81="NEW.COD",AA81,IF(ISTEXT($E81),"DEJA SAISI !",IF(A81="","",IF(ISERROR(VLOOKUP($A81,'[1]liste reference'!$A$7:$D$906,2,0)),IF(ISERROR(VLOOKUP($A81,'[1]liste reference'!$B$7:$D$906,1,0)),"code non répertorié ou synonyme",VLOOKUP($A81,'[1]liste reference'!$B$7:$D$906,1,0)),VLOOKUP(A81,'[1]liste reference'!$A$7:$D$906,2,0)))))</f>
        <v/>
      </c>
      <c r="L81" s="236"/>
      <c r="M81" s="236"/>
      <c r="N81" s="236"/>
      <c r="O81" s="237"/>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38"/>
      <c r="W81" s="23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3.8" hidden="true" customHeight="false" outlineLevel="0" collapsed="false">
      <c r="A82" s="240" t="s">
        <v>82</v>
      </c>
      <c r="B82" s="152"/>
      <c r="C82" s="152"/>
      <c r="D82" s="152"/>
      <c r="E82" s="152"/>
      <c r="F82" s="152"/>
      <c r="G82" s="152"/>
      <c r="H82" s="152"/>
      <c r="I82" s="152"/>
      <c r="J82" s="152"/>
      <c r="K82" s="152"/>
      <c r="L82" s="152"/>
      <c r="M82" s="207"/>
      <c r="N82" s="207"/>
      <c r="O82" s="241"/>
      <c r="P82" s="241"/>
      <c r="Q82" s="241"/>
      <c r="R82" s="241"/>
      <c r="S82" s="8"/>
      <c r="T82" s="8"/>
      <c r="U82" s="241"/>
      <c r="V82" s="241"/>
      <c r="W82" s="241"/>
      <c r="X82" s="242"/>
      <c r="Y82" s="242"/>
      <c r="Z82" s="242"/>
      <c r="AA82" s="243"/>
      <c r="AB82" s="243"/>
      <c r="AC82" s="243"/>
    </row>
    <row r="83" customFormat="false" ht="12.75" hidden="true" customHeight="false" outlineLevel="0" collapsed="false">
      <c r="A83" s="244" t="str">
        <f aca="false">A3</f>
        <v>BURON</v>
      </c>
      <c r="B83" s="245" t="str">
        <f aca="false">C3</f>
        <v>St-Priest-Bramefant</v>
      </c>
      <c r="C83" s="246" t="n">
        <f aca="false">A4</f>
        <v>39679</v>
      </c>
      <c r="D83" s="247" t="n">
        <f aca="false">IF(ISERROR(SUM($S$23:$S$81)/SUM($T$23:$T$81)),"",SUM($S$23:$S$81)/SUM($T$23:$T$81))</f>
        <v>9.5</v>
      </c>
      <c r="E83" s="248" t="n">
        <f aca="false">N13</f>
        <v>8</v>
      </c>
      <c r="F83" s="249" t="n">
        <f aca="false">N14</f>
        <v>6</v>
      </c>
      <c r="G83" s="249" t="n">
        <f aca="false">N15</f>
        <v>3</v>
      </c>
      <c r="H83" s="249" t="n">
        <f aca="false">N16</f>
        <v>3</v>
      </c>
      <c r="I83" s="249" t="n">
        <f aca="false">N17</f>
        <v>0</v>
      </c>
      <c r="J83" s="250" t="n">
        <f aca="false">N8</f>
        <v>9.5</v>
      </c>
      <c r="K83" s="247" t="n">
        <f aca="false">N9</f>
        <v>3.67423461417477</v>
      </c>
      <c r="L83" s="248" t="n">
        <f aca="false">N10</f>
        <v>4</v>
      </c>
      <c r="M83" s="248" t="n">
        <f aca="false">N11</f>
        <v>13</v>
      </c>
      <c r="N83" s="247" t="n">
        <f aca="false">O8</f>
        <v>1.5</v>
      </c>
      <c r="O83" s="247" t="n">
        <f aca="false">O9</f>
        <v>0.547722557505166</v>
      </c>
      <c r="P83" s="248" t="n">
        <f aca="false">O10</f>
        <v>1</v>
      </c>
      <c r="Q83" s="248" t="n">
        <f aca="false">O11</f>
        <v>2</v>
      </c>
      <c r="R83" s="251" t="n">
        <f aca="false">F21</f>
        <v>1.541</v>
      </c>
      <c r="S83" s="248" t="n">
        <f aca="false">K11</f>
        <v>0</v>
      </c>
      <c r="T83" s="248" t="n">
        <f aca="false">K12</f>
        <v>5</v>
      </c>
      <c r="U83" s="248" t="n">
        <f aca="false">K13</f>
        <v>2</v>
      </c>
      <c r="V83" s="252" t="n">
        <f aca="false">K14</f>
        <v>0</v>
      </c>
      <c r="W83" s="253" t="n">
        <f aca="false">K15</f>
        <v>0</v>
      </c>
      <c r="Y83" s="226"/>
      <c r="Z83" s="226"/>
      <c r="AA83" s="243"/>
      <c r="AB83" s="243"/>
      <c r="AC83" s="243"/>
    </row>
    <row r="84" customFormat="false" ht="12.75" hidden="true" customHeight="false" outlineLevel="0" collapsed="false">
      <c r="P84" s="8"/>
      <c r="Q84" s="8"/>
      <c r="R84" s="8"/>
      <c r="S84" s="8"/>
      <c r="T84" s="8"/>
      <c r="U84" s="8"/>
    </row>
    <row r="85" customFormat="false" ht="12.75" hidden="true" customHeight="false" outlineLevel="0" collapsed="false">
      <c r="P85" s="254" t="s">
        <v>83</v>
      </c>
      <c r="Q85" s="8"/>
      <c r="R85" s="208"/>
      <c r="S85" s="8"/>
      <c r="T85" s="8"/>
      <c r="U85" s="8"/>
    </row>
    <row r="86" customFormat="false" ht="12.75" hidden="true" customHeight="false" outlineLevel="0" collapsed="false">
      <c r="P86" s="8" t="s">
        <v>84</v>
      </c>
      <c r="Q86" s="8"/>
      <c r="R86" s="208" t="n">
        <f aca="false">VLOOKUP(MAX($R$23:$R$81),($R$23:$T$81),1,0)</f>
        <v>20</v>
      </c>
      <c r="S86" s="8"/>
      <c r="T86" s="8"/>
      <c r="U86" s="8"/>
    </row>
    <row r="87" customFormat="false" ht="12.75" hidden="true" customHeight="false" outlineLevel="0" collapsed="false">
      <c r="P87" s="8" t="s">
        <v>85</v>
      </c>
      <c r="Q87" s="8"/>
      <c r="R87" s="208" t="n">
        <f aca="false">VLOOKUP((R86),($R$23:$T$81),2,0)</f>
        <v>20</v>
      </c>
      <c r="S87" s="8"/>
      <c r="T87" s="8"/>
      <c r="U87" s="8"/>
    </row>
    <row r="88" customFormat="false" ht="12.75" hidden="true" customHeight="false" outlineLevel="0" collapsed="false">
      <c r="P88" s="8" t="s">
        <v>86</v>
      </c>
      <c r="Q88" s="8"/>
      <c r="R88" s="208" t="n">
        <f aca="false">VLOOKUP((R86),($R$23:$T$81),3,0)</f>
        <v>2</v>
      </c>
      <c r="S88" s="8"/>
    </row>
    <row r="89" customFormat="false" ht="12.75" hidden="true" customHeight="false" outlineLevel="0" collapsed="false">
      <c r="P89" s="8" t="s">
        <v>87</v>
      </c>
      <c r="Q89" s="8"/>
      <c r="R89" s="255" t="n">
        <f aca="false">IF(ISERROR(SUM($S$23:$S$81)/SUM($T$23:$T$81)),"",(SUM($S$23:$S$81)-R87)/(SUM($T$23:$T$81)-R88))</f>
        <v>9.4</v>
      </c>
      <c r="S89" s="8"/>
    </row>
    <row r="90" customFormat="false" ht="12.75" hidden="true" customHeight="false" outlineLevel="0" collapsed="false">
      <c r="P90" s="207" t="s">
        <v>88</v>
      </c>
      <c r="Q90" s="207"/>
      <c r="R90" s="207" t="str">
        <f aca="false">INDEX('[1]liste reference'!$A$7:$A$906,$S$90)</f>
        <v>MEL.SPX</v>
      </c>
      <c r="S90" s="8" t="n">
        <f aca="false">IF(ISERROR(MATCH($R$92,'[1]liste reference'!$A$7:$A$906,0)),MATCH($R$92,'[1]liste reference'!$B$7:$B$906,0),(MATCH($R$92,'[1]liste reference'!$A$7:$A$906,0)))</f>
        <v>37</v>
      </c>
      <c r="T90" s="243"/>
    </row>
    <row r="91" customFormat="false" ht="12.75" hidden="true" customHeight="false" outlineLevel="0" collapsed="false">
      <c r="P91" s="8" t="s">
        <v>89</v>
      </c>
      <c r="Q91" s="8"/>
      <c r="R91" s="8" t="n">
        <f aca="false">MATCH(R86,$R$23:$R$81,0)</f>
        <v>3</v>
      </c>
      <c r="S91" s="8"/>
    </row>
    <row r="92" customFormat="false" ht="12.75" hidden="true" customHeight="false" outlineLevel="0" collapsed="false">
      <c r="P92" s="207" t="s">
        <v>90</v>
      </c>
      <c r="Q92" s="8"/>
      <c r="R92" s="207" t="str">
        <f aca="false">INDEX($A$23:$A$81,$R$91)</f>
        <v>MEL.SPX</v>
      </c>
      <c r="S92" s="8"/>
    </row>
    <row r="93" customFormat="false" ht="12.75" hidden="false" customHeight="false" outlineLevel="0" collapsed="false">
      <c r="R93" s="243"/>
    </row>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2:Y82"/>
  </mergeCells>
  <conditionalFormatting sqref="A23:A81">
    <cfRule type="expression" priority="2" aboveAverage="0" equalAverage="0" bottom="0" percent="0" rank="0" text="" dxfId="0">
      <formula>ISTEXT($E23)</formula>
    </cfRule>
  </conditionalFormatting>
  <conditionalFormatting sqref="H23:J81">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1 K23:K81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1"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1"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1"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1" type="none">
      <formula1>0</formula1>
      <formula2>0</formula2>
    </dataValidation>
    <dataValidation allowBlank="false" error="Veuillez sélectionner Cf. dans la liste déroulante" errorStyle="stop" errorTitle="ATTENTION" operator="between" showDropDown="false" showErrorMessage="true" showInputMessage="false" sqref="Z23:Z81"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2024-03-12T20:56:01Z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