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lan a cusset" sheetId="1" state="visible" r:id="rId3"/>
  </sheets>
  <externalReferences>
    <externalReference r:id="rId4"/>
  </externalReferences>
  <definedNames>
    <definedName function="false" hidden="false" localSheetId="0" name="_xlnm.Print_Area" vbProcedure="false">'jolan a cusset'!$A$1:$O$82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<sst xmlns="http://schemas.openxmlformats.org/spreadsheetml/2006/main" count="92" uniqueCount="88">
  <si>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</si>
  <si>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</si>
  <si>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</si>
  <si>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</si>
  <si>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</si>
  <si>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Jolan</t>
  </si>
  <si>
    <t xml:space="preserve">Jolan à Cusset</t>
  </si>
  <si>
    <t xml:space="preserve">04040355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</si>
  <si>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</si>
  <si>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</si>
  <si>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</si>
  <si>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</si>
  <si>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</si>
  <si>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</si>
  <si>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</si>
  <si>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</si>
  <si>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</si>
  <si>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</si>
  <si>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</si>
  <si>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</si>
  <si>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</si>
  <si>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</si>
  <si>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</si>
  <si>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</si>
  <si>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</si>
  <si>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</si>
  <si>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</si>
  <si>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</si>
  <si>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</si>
  <si>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</si>
  <si>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</si>
  <si>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</si>
  <si>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</si>
  <si>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</si>
  <si>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</si>
  <si>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</si>
  <si>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</si>
  <si>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</si>
  <si>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</si>
  <si>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</si>
  <si>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</si>
  <si>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</si>
  <si>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</si>
  <si>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</si>
  <si>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</si>
  <si>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</si>
  <si>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</si>
  <si>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</si>
  <si>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</si>
  <si>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</si>
  <si>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</si>
  <si>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</si>
  <si>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</si>
  <si>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</si>
  <si>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</si>
  <si>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</si>
  <si>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</si>
  <si>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</si>
  <si>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</si>
  <si>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</si>
  <si>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</si>
  <si>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</si>
  <si>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</si>
  <si>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</si>
  <si>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</si>
  <si>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</si>
  <si>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</si>
  <si>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</si>
  <si>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</si>
  <si>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</si>
  <si>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</si>
  <si>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</si>
  <si>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</si>
  <si>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</si>
  <si>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</si>
  <si>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OEDSPX</t>
  </si>
  <si>
    <t xml:space="preserve">OSCSPX</t>
  </si>
  <si>
    <t xml:space="preserve">FONANT</t>
  </si>
  <si>
    <t xml:space="preserve">THAALO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</si>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</sst>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40777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9.71428571428571</v>
      </c>
      <c r="M5" s="51"/>
      <c r="N5" s="52" t="s">
        <v>16</v>
      </c>
      <c r="O5" s="53" t="n">
        <v>9.55555555555556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9.66666666666667</v>
      </c>
      <c r="O8" s="80" t="n">
        <f aca="false">AVERAGE(J23:J82)</f>
        <v>1.33333333333333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71</v>
      </c>
      <c r="C9" s="83"/>
      <c r="D9" s="84"/>
      <c r="E9" s="84"/>
      <c r="F9" s="85" t="n">
        <f aca="false">($B9*$B$7+$C9*$C$7)/100</f>
        <v>71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3.38624669312008</v>
      </c>
      <c r="O9" s="80" t="n">
        <f aca="false">STDEV(J23:J82)</f>
        <v>0.516397779494322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6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71</v>
      </c>
      <c r="C12" s="115"/>
      <c r="D12" s="107"/>
      <c r="E12" s="107"/>
      <c r="F12" s="108" t="n">
        <f aca="false">($B12*$B$7+$C12*$C$7)/100</f>
        <v>71</v>
      </c>
      <c r="G12" s="116"/>
      <c r="H12" s="64"/>
      <c r="I12" s="117" t="s">
        <v>37</v>
      </c>
      <c r="J12" s="117"/>
      <c r="K12" s="111" t="n">
        <f aca="false">COUNTIF($G$23:$G$82,"=ALG")</f>
        <v>4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2</v>
      </c>
      <c r="L13" s="112"/>
      <c r="M13" s="122" t="s">
        <v>40</v>
      </c>
      <c r="N13" s="123" t="n">
        <f aca="false">COUNTIF(F23:F82,"&gt;0")</f>
        <v>6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6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/>
      <c r="C15" s="130"/>
      <c r="D15" s="107"/>
      <c r="E15" s="107"/>
      <c r="F15" s="108" t="n">
        <f aca="false">($B15*$B$7+$C15*$C$7)/100</f>
        <v>0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0</v>
      </c>
      <c r="L15" s="112"/>
      <c r="M15" s="131" t="s">
        <v>46</v>
      </c>
      <c r="N15" s="132" t="n">
        <f aca="false">COUNTIF(J23:J82,"=1")</f>
        <v>4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2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71</v>
      </c>
      <c r="C17" s="115"/>
      <c r="D17" s="107"/>
      <c r="E17" s="107"/>
      <c r="F17" s="137"/>
      <c r="G17" s="108" t="n">
        <f aca="false">($B17*$B$7+$C17*$C$7)/100</f>
        <v>71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71</v>
      </c>
      <c r="G19" s="149" t="n">
        <f aca="false">SUM(G16:G18)</f>
        <v>71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71.111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71.111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71.111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71.111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0.95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0.95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0.95</v>
      </c>
      <c r="Q23" s="205" t="n">
        <f aca="false">IF(OR(ISTEXT(H23),P23=0),"",IF(P23&lt;0.1,1,IF(P23&lt;1,2,IF(P23&lt;10,3,IF(P23&lt;50,4,IF(P23&gt;=50,5,""))))))</f>
        <v>2</v>
      </c>
      <c r="R23" s="205" t="n">
        <f aca="false">IF(ISERROR(Q23*I23),0,Q23*I23)</f>
        <v>12</v>
      </c>
      <c r="S23" s="205" t="n">
        <f aca="false">IF(ISERROR(Q23*I23*J23),0,Q23*I23*J23)</f>
        <v>12</v>
      </c>
      <c r="T23" s="205" t="n">
        <f aca="false">IF(ISERROR(Q23*J23),0,Q23*J23)</f>
        <v>2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16</v>
      </c>
      <c r="B24" s="211" t="n">
        <v>70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Melosira sp.</v>
      </c>
      <c r="E24" s="213" t="e">
        <f aca="false">IF(D24="",,VLOOKUP(D24,D$22:D23,1,0))</f>
        <v>#N/A</v>
      </c>
      <c r="F24" s="214" t="n">
        <f aca="false">($B24*$B$7+$C24*$C$7)/100</f>
        <v>70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Melosira sp.</v>
      </c>
      <c r="L24" s="218"/>
      <c r="M24" s="218"/>
      <c r="N24" s="218"/>
      <c r="O24" s="203"/>
      <c r="P24" s="204" t="n">
        <f aca="false">IF(ISTEXT(H24),"",(B24*$B$7/100)+(C24*$C$7/100))</f>
        <v>70</v>
      </c>
      <c r="Q24" s="205" t="n">
        <f aca="false">IF(OR(ISTEXT(H24),P24=0),"",IF(P24&lt;0.1,1,IF(P24&lt;1,2,IF(P24&lt;10,3,IF(P24&lt;50,4,IF(P24&gt;=50,5,""))))))</f>
        <v>5</v>
      </c>
      <c r="R24" s="205" t="n">
        <f aca="false">IF(ISERROR(Q24*I24),0,Q24*I24)</f>
        <v>50</v>
      </c>
      <c r="S24" s="205" t="n">
        <f aca="false">IF(ISERROR(Q24*I24*J24),0,Q24*I24*J24)</f>
        <v>50</v>
      </c>
      <c r="T24" s="219" t="n">
        <f aca="false">IF(ISERROR(Q24*J24),0,Q24*J24)</f>
        <v>5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MELSPX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75</v>
      </c>
      <c r="B25" s="211" t="n">
        <v>0.05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Oedogonium sp.</v>
      </c>
      <c r="E25" s="213" t="e">
        <f aca="false">IF(D25="",,VLOOKUP(D25,D$22:D24,1,0))</f>
        <v>#N/A</v>
      </c>
      <c r="F25" s="214" t="n">
        <f aca="false">($B25*$B$7+$C25*$C$7)/100</f>
        <v>0.05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Oedogonium sp.</v>
      </c>
      <c r="L25" s="218"/>
      <c r="M25" s="218"/>
      <c r="N25" s="218"/>
      <c r="O25" s="203"/>
      <c r="P25" s="204" t="n">
        <f aca="false">IF(ISTEXT(H25),"",(B25*$B$7/100)+(C25*$C$7/100))</f>
        <v>0.05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6</v>
      </c>
      <c r="S25" s="205" t="n">
        <f aca="false">IF(ISERROR(Q25*I25*J25),0,Q25*I25*J25)</f>
        <v>12</v>
      </c>
      <c r="T25" s="219" t="n">
        <f aca="false">IF(ISERROR(Q25*J25),0,Q25*J25)</f>
        <v>2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OEDSPX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56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0.1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Oscillatoria sp.       </v>
      </c>
      <c r="E26" s="213" t="e">
        <f aca="false">IF(D26="",,VLOOKUP(D26,D$22:D25,1,0))</f>
        <v>#N/A</v>
      </c>
      <c r="F26" s="214" t="n">
        <f aca="false">($B26*$B$7+$C26*$C$7)/100</f>
        <v>0.1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11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Oscillatoria sp.       </v>
      </c>
      <c r="L26" s="218"/>
      <c r="M26" s="218"/>
      <c r="N26" s="218"/>
      <c r="O26" s="203"/>
      <c r="P26" s="204" t="n">
        <f aca="false">IF(ISTEXT(H26),"",(B26*$B$7/100)+(C26*$C$7/100))</f>
        <v>0.1</v>
      </c>
      <c r="Q26" s="205" t="n">
        <f aca="false">IF(OR(ISTEXT(H26),P26=0),"",IF(P26&lt;0.1,1,IF(P26&lt;1,2,IF(P26&lt;10,3,IF(P26&lt;50,4,IF(P26&gt;=50,5,""))))))</f>
        <v>2</v>
      </c>
      <c r="R26" s="205" t="n">
        <f aca="false">IF(ISERROR(Q26*I26),0,Q26*I26)</f>
        <v>22</v>
      </c>
      <c r="S26" s="205" t="n">
        <f aca="false">IF(ISERROR(Q26*I26*J26),0,Q26*I26*J26)</f>
        <v>22</v>
      </c>
      <c r="T26" s="219" t="n">
        <f aca="false">IF(ISERROR(Q26*J26),0,Q26*J26)</f>
        <v>2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OSCSPX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57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0.01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Fontinalis antipyretica</v>
      </c>
      <c r="E27" s="213" t="e">
        <f aca="false">IF(D27="",,VLOOKUP(D27,D$22:D26,1,0))</f>
        <v>#N/A</v>
      </c>
      <c r="F27" s="214" t="n">
        <f aca="false">($B27*$B$7+$C27*$C$7)/100</f>
        <v>0.01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Fontinalis antipyretica</v>
      </c>
      <c r="L27" s="218"/>
      <c r="M27" s="218"/>
      <c r="N27" s="218"/>
      <c r="O27" s="203"/>
      <c r="P27" s="204" t="n">
        <f aca="false">IF(ISTEXT(H27),"",(B27*$B$7/100)+(C27*$C$7/100))</f>
        <v>0.01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10</v>
      </c>
      <c r="S27" s="205" t="n">
        <f aca="false">IF(ISERROR(Q27*I27*J27),0,Q27*I27*J27)</f>
        <v>10</v>
      </c>
      <c r="T27" s="219" t="n">
        <f aca="false">IF(ISERROR(Q27*J27),0,Q27*J27)</f>
        <v>1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FONANT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211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0.001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Thamnobryum alopecurum</v>
      </c>
      <c r="E28" s="213" t="e">
        <f aca="false">IF(D28="",,VLOOKUP(D28,D$22:D27,1,0))</f>
        <v>#N/A</v>
      </c>
      <c r="F28" s="214" t="n">
        <f aca="false">($B28*$B$7+$C28*$C$7)/100</f>
        <v>0.001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15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Thamnobryum alopecurum</v>
      </c>
      <c r="L28" s="218"/>
      <c r="M28" s="218"/>
      <c r="N28" s="218"/>
      <c r="O28" s="203"/>
      <c r="P28" s="204" t="n">
        <f aca="false">IF(ISTEXT(H28),"",(B28*$B$7/100)+(C28*$C$7/100))</f>
        <v>0.001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15</v>
      </c>
      <c r="S28" s="205" t="n">
        <f aca="false">IF(ISERROR(Q28*I28*J28),0,Q28*I28*J28)</f>
        <v>30</v>
      </c>
      <c r="T28" s="219" t="n">
        <f aca="false">IF(ISERROR(Q28*J28),0,Q28*J28)</f>
        <v>2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THAALO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268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3" t="n">
        <f aca="false">IF(D29="",,VLOOKUP(D29,D$22:D28,1,0))</f>
        <v>0</v>
      </c>
      <c r="F29" s="214" t="n">
        <f aca="false">($B29*$B$7+$C29*$C$7)/100</f>
        <v>0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198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6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0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18"/>
      <c r="M29" s="218"/>
      <c r="N29" s="218"/>
      <c r="O29" s="203"/>
      <c r="P29" s="204" t="str">
        <f aca="false">IF(ISTEXT(H29),"",(B29*$B$7/100)+(C29*$C$7/100))</f>
        <v/>
      </c>
      <c r="Q29" s="205" t="str">
        <f aca="false">IF(OR(ISTEXT(H29),P29=0),"",IF(P29&lt;0.1,1,IF(P29&lt;1,2,IF(P29&lt;10,3,IF(P29&lt;50,4,IF(P29&gt;=50,5,""))))))</f>
        <v/>
      </c>
      <c r="R29" s="205" t="n">
        <f aca="false">IF(ISERROR(Q29*I29),0,Q29*I29)</f>
        <v>0</v>
      </c>
      <c r="S29" s="205" t="n">
        <f aca="false">IF(ISERROR(Q29*I29*J29),0,Q29*I29*J29)</f>
        <v>0</v>
      </c>
      <c r="T29" s="219" t="n">
        <f aca="false">IF(ISERROR(Q29*J29),0,Q29*J29)</f>
        <v>0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08"/>
      <c r="AA29" s="209"/>
      <c r="BB29" s="8" t="str">
        <f aca="false">IF(A29="","",1)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3" t="n">
        <f aca="false">IF(D30="",,VLOOKUP(D30,D$22:D29,1,0))</f>
        <v>0</v>
      </c>
      <c r="F30" s="214" t="n">
        <f aca="false">($B30*$B$7+$C30*$C$7)/100</f>
        <v>0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198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6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0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18"/>
      <c r="M30" s="218"/>
      <c r="N30" s="218"/>
      <c r="O30" s="203"/>
      <c r="P30" s="204" t="str">
        <f aca="false">IF(ISTEXT(H30),"",(B30*$B$7/100)+(C30*$C$7/100))</f>
        <v/>
      </c>
      <c r="Q30" s="205" t="str">
        <f aca="false">IF(OR(ISTEXT(H30),P30=0),"",IF(P30&lt;0.1,1,IF(P30&lt;1,2,IF(P30&lt;10,3,IF(P30&lt;50,4,IF(P30&gt;=50,5,""))))))</f>
        <v/>
      </c>
      <c r="R30" s="205" t="n">
        <f aca="false">IF(ISERROR(Q30*I30),0,Q30*I30)</f>
        <v>0</v>
      </c>
      <c r="S30" s="205" t="n">
        <f aca="false">IF(ISERROR(Q30*I30*J30),0,Q30*I30*J30)</f>
        <v>0</v>
      </c>
      <c r="T30" s="219" t="n">
        <f aca="false">IF(ISERROR(Q30*J30),0,Q30*J30)</f>
        <v>0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08"/>
      <c r="AA30" s="209"/>
      <c r="BB30" s="8" t="str">
        <f aca="false">IF(A30="","",1)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3" t="n">
        <f aca="false">IF(D31="",,VLOOKUP(D31,D$21:D30,1,0))</f>
        <v>0</v>
      </c>
      <c r="F31" s="214" t="n">
        <f aca="false">($B31*$B$7+$C31*$C$7)/100</f>
        <v>0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198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6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0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18"/>
      <c r="M31" s="218"/>
      <c r="N31" s="218"/>
      <c r="O31" s="203"/>
      <c r="P31" s="204" t="str">
        <f aca="false">IF(ISTEXT(H31),"",(B31*$B$7/100)+(C31*$C$7/100))</f>
        <v/>
      </c>
      <c r="Q31" s="205" t="str">
        <f aca="false">IF(OR(ISTEXT(H31),P31=0),"",IF(P31&lt;0.1,1,IF(P31&lt;1,2,IF(P31&lt;10,3,IF(P31&lt;50,4,IF(P31&gt;=50,5,""))))))</f>
        <v/>
      </c>
      <c r="R31" s="205" t="n">
        <f aca="false">IF(ISERROR(Q31*I31),0,Q31*I31)</f>
        <v>0</v>
      </c>
      <c r="S31" s="205" t="n">
        <f aca="false">IF(ISERROR(Q31*I31*J31),0,Q31*I31*J31)</f>
        <v>0</v>
      </c>
      <c r="T31" s="219" t="n">
        <f aca="false">IF(ISERROR(Q31*J31),0,Q31*J31)</f>
        <v>0</v>
      </c>
      <c r="U31" s="206" t="str">
        <f aca="false">IF(AND(A31="",F31=0),"",IF(F31=0,"Il manque le(s) % de rec. !",""))</f>
        <v/>
      </c>
      <c r="V31" s="207"/>
      <c r="W31" s="220"/>
      <c r="X31" s="205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08"/>
      <c r="AA31" s="209"/>
      <c r="BB31" s="8" t="str">
        <f aca="false">IF(A31="","",1)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3" t="n">
        <f aca="false">IF(D32="",,VLOOKUP(D32,D$22:D31,1,0))</f>
        <v>0</v>
      </c>
      <c r="F32" s="214" t="n">
        <f aca="false">($B32*$B$7+$C32*$C$7)/100</f>
        <v>0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198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6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18"/>
      <c r="M32" s="218"/>
      <c r="N32" s="218"/>
      <c r="O32" s="203"/>
      <c r="P32" s="204" t="str">
        <f aca="false">IF(ISTEXT(H32),"",(B32*$B$7/100)+(C32*$C$7/100))</f>
        <v/>
      </c>
      <c r="Q32" s="205" t="str">
        <f aca="false">IF(OR(ISTEXT(H32),P32=0),"",IF(P32&lt;0.1,1,IF(P32&lt;1,2,IF(P32&lt;10,3,IF(P32&lt;50,4,IF(P32&gt;=50,5,""))))))</f>
        <v/>
      </c>
      <c r="R32" s="205" t="n">
        <f aca="false">IF(ISERROR(Q32*I32),0,Q32*I32)</f>
        <v>0</v>
      </c>
      <c r="S32" s="205" t="n">
        <f aca="false">IF(ISERROR(Q32*I32*J32),0,Q32*I32*J32)</f>
        <v>0</v>
      </c>
      <c r="T32" s="219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08"/>
      <c r="AA32" s="209"/>
      <c r="BB32" s="8" t="str">
        <f aca="false">IF(A32="","",1)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3" t="n">
        <f aca="false">IF(D33="",,VLOOKUP(D33,D$22:D32,1,0))</f>
        <v>0</v>
      </c>
      <c r="F33" s="214" t="n">
        <f aca="false">($B33*$B$7+$C33*$C$7)/100</f>
        <v>0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198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6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0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1"/>
      <c r="M33" s="221"/>
      <c r="N33" s="221"/>
      <c r="O33" s="222"/>
      <c r="P33" s="204" t="str">
        <f aca="false">IF(ISTEXT(H33),"",(B33*$B$7/100)+(C33*$C$7/100))</f>
        <v/>
      </c>
      <c r="Q33" s="205" t="str">
        <f aca="false">IF(OR(ISTEXT(H33),P33=0),"",IF(P33&lt;0.1,1,IF(P33&lt;1,2,IF(P33&lt;10,3,IF(P33&lt;50,4,IF(P33&gt;=50,5,""))))))</f>
        <v/>
      </c>
      <c r="R33" s="205" t="n">
        <f aca="false">IF(ISERROR(Q33*I33),0,Q33*I33)</f>
        <v>0</v>
      </c>
      <c r="S33" s="205" t="n">
        <f aca="false">IF(ISERROR(Q33*I33*J33),0,Q33*I33*J33)</f>
        <v>0</v>
      </c>
      <c r="T33" s="219" t="n">
        <f aca="false">IF(ISERROR(Q33*J33),0,Q33*J33)</f>
        <v>0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08"/>
      <c r="AA33" s="209"/>
      <c r="BB33" s="8" t="str">
        <f aca="false">IF(A33="","",1)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0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1"/>
      <c r="M34" s="221"/>
      <c r="N34" s="221"/>
      <c r="O34" s="222"/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/>
      <c r="AA34" s="209"/>
      <c r="BB34" s="8" t="str">
        <f aca="false">IF(A34="","",1)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79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Jolan</v>
      </c>
      <c r="B84" s="244" t="str">
        <f aca="false">C3</f>
        <v>Jolan à Cusset</v>
      </c>
      <c r="C84" s="245" t="n">
        <f aca="false">A4</f>
        <v>40777</v>
      </c>
      <c r="D84" s="246" t="n">
        <f aca="false">IF(ISERROR(SUM($S$23:$S$82)/SUM($T$23:$T$82)),"",SUM($S$23:$S$82)/SUM($T$23:$T$82))</f>
        <v>9.71428571428571</v>
      </c>
      <c r="E84" s="247" t="n">
        <f aca="false">N13</f>
        <v>6</v>
      </c>
      <c r="F84" s="244" t="n">
        <f aca="false">N14</f>
        <v>6</v>
      </c>
      <c r="G84" s="244" t="n">
        <f aca="false">N15</f>
        <v>4</v>
      </c>
      <c r="H84" s="244" t="n">
        <f aca="false">N16</f>
        <v>2</v>
      </c>
      <c r="I84" s="244" t="n">
        <f aca="false">N17</f>
        <v>0</v>
      </c>
      <c r="J84" s="248" t="n">
        <f aca="false">N8</f>
        <v>9.66666666666667</v>
      </c>
      <c r="K84" s="246" t="n">
        <f aca="false">N9</f>
        <v>3.38624669312008</v>
      </c>
      <c r="L84" s="247" t="n">
        <f aca="false">N10</f>
        <v>6</v>
      </c>
      <c r="M84" s="247" t="n">
        <f aca="false">N11</f>
        <v>15</v>
      </c>
      <c r="N84" s="246" t="n">
        <f aca="false">O8</f>
        <v>1.33333333333333</v>
      </c>
      <c r="O84" s="246" t="n">
        <f aca="false">O9</f>
        <v>0.516397779494322</v>
      </c>
      <c r="P84" s="247" t="n">
        <f aca="false">O10</f>
        <v>1</v>
      </c>
      <c r="Q84" s="247" t="n">
        <f aca="false">O11</f>
        <v>2</v>
      </c>
      <c r="R84" s="249" t="n">
        <f aca="false">F21</f>
        <v>71.111</v>
      </c>
      <c r="S84" s="247" t="n">
        <f aca="false">K11</f>
        <v>0</v>
      </c>
      <c r="T84" s="247" t="n">
        <f aca="false">K12</f>
        <v>4</v>
      </c>
      <c r="U84" s="247" t="n">
        <f aca="false">K13</f>
        <v>2</v>
      </c>
      <c r="V84" s="250" t="n">
        <f aca="false">K14</f>
        <v>0</v>
      </c>
      <c r="W84" s="251" t="n">
        <f aca="false">K15</f>
        <v>0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80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81</v>
      </c>
      <c r="Q87" s="8"/>
      <c r="R87" s="206" t="n">
        <f aca="false">VLOOKUP(MAX($R$23:$R$82),($R$23:$T$82),1,0)</f>
        <v>50</v>
      </c>
      <c r="S87" s="8"/>
      <c r="T87" s="8"/>
      <c r="U87" s="8"/>
    </row>
    <row r="88" customFormat="false" ht="12.75" hidden="true" customHeight="false" outlineLevel="0" collapsed="false">
      <c r="P88" s="8" t="s">
        <v>82</v>
      </c>
      <c r="Q88" s="8"/>
      <c r="R88" s="206" t="n">
        <f aca="false">VLOOKUP((R87),($R$23:$T$82),2,0)</f>
        <v>50</v>
      </c>
      <c r="S88" s="8"/>
      <c r="T88" s="8"/>
      <c r="U88" s="8"/>
    </row>
    <row r="89" customFormat="false" ht="12.75" hidden="true" customHeight="false" outlineLevel="0" collapsed="false">
      <c r="P89" s="8" t="s">
        <v>83</v>
      </c>
      <c r="Q89" s="8"/>
      <c r="R89" s="206" t="n">
        <f aca="false">VLOOKUP((R87),($R$23:$T$82),3,0)</f>
        <v>5</v>
      </c>
      <c r="S89" s="8"/>
    </row>
    <row r="90" customFormat="false" ht="12.75" hidden="true" customHeight="false" outlineLevel="0" collapsed="false">
      <c r="P90" s="8" t="s">
        <v>84</v>
      </c>
      <c r="Q90" s="8"/>
      <c r="R90" s="253" t="n">
        <f aca="false">IF(ISERROR(SUM($S$23:$S$82)/SUM($T$23:$T$82)),"",(SUM($S$23:$S$82)-R88)/(SUM($T$23:$T$82)-R89))</f>
        <v>9.55555555555556</v>
      </c>
      <c r="S90" s="8"/>
    </row>
    <row r="91" customFormat="false" ht="12.75" hidden="true" customHeight="false" outlineLevel="0" collapsed="false">
      <c r="P91" s="205" t="s">
        <v>85</v>
      </c>
      <c r="Q91" s="205"/>
      <c r="R91" s="205" t="str">
        <f aca="false">INDEX('[1]liste reference'!$A$7:$A$906,$S$91)</f>
        <v>MELSPX</v>
      </c>
      <c r="S91" s="8" t="n">
        <f aca="false">IF(ISERROR(MATCH($R$93,'[1]liste reference'!$A$7:$A$906,0)),MATCH($R$93,'[1]liste reference'!$B$7:$B$906,0),(MATCH($R$93,'[1]liste reference'!$A$7:$A$906,0)))</f>
        <v>37</v>
      </c>
      <c r="T91" s="242"/>
    </row>
    <row r="92" customFormat="false" ht="12.75" hidden="true" customHeight="false" outlineLevel="0" collapsed="false">
      <c r="P92" s="8" t="s">
        <v>86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5" t="s">
        <v>87</v>
      </c>
      <c r="Q93" s="8"/>
      <c r="R93" s="205" t="str">
        <f aca="false">INDEX($A$23:$A$82,$R$92)</f>
        <v>MELSPX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2024-03-14T19:14:37Z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