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t a combrailles" sheetId="1" state="visible" r:id="rId3"/>
  </sheets>
  <externalReferences>
    <externalReference r:id="rId4"/>
  </externalReferences>
  <definedNames>
    <definedName function="false" hidden="false" localSheetId="0" name="_xlnm.Print_Area" vbProcedure="false">'sioulet a combrailles'!$A$1:$O$82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<sst xmlns="http://schemas.openxmlformats.org/spreadsheetml/2006/main" count="100" uniqueCount="96">
  <si>
    <t xml:space="preserve">Relevés floristiques aquatiques - IBMR</t>
  </si>
  <si>
    <t xml:space="preserve">GIS Macrophytes - juillet 2011</t>
  </si>
  <si>
    <t xml:space="preserve">EEC</t>
  </si>
  <si>
    <t xml:space="preserve">Marle Mickaël / Gueudin Sarah</t>
  </si>
  <si>
    <t xml:space="preserve">conforme AFNOR T90-395 oct. 2003</t>
  </si>
  <si>
    <t xml:space="preserve">Sioulet</t>
  </si>
  <si>
    <t xml:space="preserve">Sioulet à Combrailles</t>
  </si>
  <si>
    <t xml:space="preserve">04041750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</si>
  <si>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</si>
  <si>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</si>
  <si>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</si>
  <si>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</si>
  <si>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</si>
  <si>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</si>
  <si>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</si>
  <si>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</si>
  <si>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RANPEL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</si>
  <si>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</si>
  <si>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</si>
  <si>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</si>
  <si>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</si>
  <si>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</si>
  <si>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</si>
  <si>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</si>
  <si>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</si>
  <si>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</si>
  <si>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</si>
  <si>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</si>
  <si>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</si>
  <si>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</si>
  <si>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</si>
  <si>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</si>
  <si>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</si>
  <si>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</si>
  <si>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</si>
  <si>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</si>
  <si>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</si>
  <si>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</si>
  <si>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</si>
  <si>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</si>
  <si>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</si>
  <si>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</si>
  <si>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</si>
  <si>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</si>
  <si>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</si>
  <si>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</si>
  <si>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</si>
  <si>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</si>
  <si>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</si>
  <si>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</si>
  <si>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</si>
  <si>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</si>
  <si>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</si>
  <si>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</si>
  <si>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</si>
  <si>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</si>
  <si>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</si>
  <si>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</si>
  <si>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</si>
  <si>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</si>
  <si>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</si>
  <si>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</si>
  <si>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</si>
  <si>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</si>
  <si>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</si>
  <si>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</si>
  <si>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</si>
  <si>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</si>
  <si>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</si>
  <si>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</si>
  <si>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</si>
  <si>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</si>
  <si>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</si>
  <si>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</si>
  <si>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</si>
  <si>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ENTSPX</t>
  </si>
  <si>
    <t xml:space="preserve">MELSPX</t>
  </si>
  <si>
    <t xml:space="preserve">OEDSPX</t>
  </si>
  <si>
    <t xml:space="preserve">VAUSPX</t>
  </si>
  <si>
    <t xml:space="preserve">CHIPOL</t>
  </si>
  <si>
    <t xml:space="preserve">COLFLU</t>
  </si>
  <si>
    <t xml:space="preserve">RHYRIP</t>
  </si>
  <si>
    <t xml:space="preserve">FONANT</t>
  </si>
  <si>
    <t xml:space="preserve">FONSQU</t>
  </si>
  <si>
    <t xml:space="preserve">POTCRI</t>
  </si>
  <si>
    <t xml:space="preserve">GLYFLU</t>
  </si>
  <si>
    <t xml:space="preserve">VERBEC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</si>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</sst>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40766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11.3214285714286</v>
      </c>
      <c r="M5" s="51"/>
      <c r="N5" s="52" t="s">
        <v>16</v>
      </c>
      <c r="O5" s="53" t="n">
        <v>11.1363636363636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 t="s">
        <v>19</v>
      </c>
      <c r="D6" s="44"/>
      <c r="E6" s="44"/>
      <c r="F6" s="45"/>
      <c r="G6" s="46"/>
      <c r="H6" s="44"/>
      <c r="I6" s="55" t="s">
        <v>20</v>
      </c>
      <c r="J6" s="56"/>
      <c r="K6" s="57"/>
      <c r="L6" s="58" t="s">
        <v>21</v>
      </c>
      <c r="M6" s="59"/>
      <c r="N6" s="60" t="s">
        <v>22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23</v>
      </c>
      <c r="B7" s="62" t="n">
        <v>90</v>
      </c>
      <c r="C7" s="63" t="n">
        <v>10</v>
      </c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24</v>
      </c>
      <c r="O7" s="73" t="s">
        <v>25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26</v>
      </c>
      <c r="B8" s="74"/>
      <c r="C8" s="74"/>
      <c r="D8" s="64"/>
      <c r="E8" s="64"/>
      <c r="F8" s="75" t="s">
        <v>27</v>
      </c>
      <c r="G8" s="76"/>
      <c r="H8" s="77"/>
      <c r="I8" s="67"/>
      <c r="J8" s="68"/>
      <c r="K8" s="69"/>
      <c r="L8" s="70"/>
      <c r="M8" s="78" t="s">
        <v>28</v>
      </c>
      <c r="N8" s="79" t="n">
        <f aca="false">AVERAGE(I23:I82)</f>
        <v>10.4615384615385</v>
      </c>
      <c r="O8" s="80" t="n">
        <f aca="false">AVERAGE(J23:J82)</f>
        <v>1.76923076923077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29</v>
      </c>
      <c r="B9" s="82" t="n">
        <v>8</v>
      </c>
      <c r="C9" s="83" t="n">
        <v>0.2</v>
      </c>
      <c r="D9" s="84"/>
      <c r="E9" s="84"/>
      <c r="F9" s="85" t="n">
        <f aca="false">($B9*$B$7+$C9*$C$7)/100</f>
        <v>7.22</v>
      </c>
      <c r="G9" s="86"/>
      <c r="H9" s="87"/>
      <c r="I9" s="88"/>
      <c r="J9" s="89"/>
      <c r="K9" s="69"/>
      <c r="L9" s="90"/>
      <c r="M9" s="78" t="s">
        <v>30</v>
      </c>
      <c r="N9" s="79" t="n">
        <f aca="false">STDEV(I23:I82)</f>
        <v>4.48358830654244</v>
      </c>
      <c r="O9" s="80" t="n">
        <f aca="false">STDEV(J23:J82)</f>
        <v>0.725011052081984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31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32</v>
      </c>
      <c r="K10" s="99"/>
      <c r="L10" s="100"/>
      <c r="M10" s="101" t="s">
        <v>33</v>
      </c>
      <c r="N10" s="102" t="n">
        <f aca="false">MIN(I23:I82)</f>
        <v>3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34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35</v>
      </c>
      <c r="J11" s="110"/>
      <c r="K11" s="111" t="n">
        <f aca="false">COUNTIF($G$23:$G$82,"=HET")</f>
        <v>0</v>
      </c>
      <c r="L11" s="112"/>
      <c r="M11" s="101" t="s">
        <v>36</v>
      </c>
      <c r="N11" s="102" t="n">
        <f aca="false">MAX(I23:I82)</f>
        <v>17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37</v>
      </c>
      <c r="B12" s="114"/>
      <c r="C12" s="115"/>
      <c r="D12" s="107"/>
      <c r="E12" s="107"/>
      <c r="F12" s="108" t="n">
        <f aca="false">($B12*$B$7+$C12*$C$7)/100</f>
        <v>0</v>
      </c>
      <c r="G12" s="116"/>
      <c r="H12" s="64"/>
      <c r="I12" s="117" t="s">
        <v>38</v>
      </c>
      <c r="J12" s="117"/>
      <c r="K12" s="111" t="n">
        <f aca="false">COUNTIF($G$23:$G$82,"=ALG")</f>
        <v>4</v>
      </c>
      <c r="L12" s="118"/>
      <c r="M12" s="119"/>
      <c r="N12" s="120" t="s">
        <v>32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39</v>
      </c>
      <c r="B13" s="114" t="n">
        <v>1</v>
      </c>
      <c r="C13" s="115"/>
      <c r="D13" s="107"/>
      <c r="E13" s="107"/>
      <c r="F13" s="108" t="n">
        <f aca="false">($B13*$B$7+$C13*$C$7)/100</f>
        <v>0.9</v>
      </c>
      <c r="G13" s="116"/>
      <c r="H13" s="64"/>
      <c r="I13" s="117" t="s">
        <v>40</v>
      </c>
      <c r="J13" s="117"/>
      <c r="K13" s="111" t="n">
        <f aca="false">COUNTIF($G$23:$G$82,"=BRm")+COUNTIF($G$23:$G$82,"=BRh")</f>
        <v>4</v>
      </c>
      <c r="L13" s="112"/>
      <c r="M13" s="122" t="s">
        <v>41</v>
      </c>
      <c r="N13" s="123" t="n">
        <f aca="false">COUNTIF(F23:F82,"&gt;0")</f>
        <v>13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42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43</v>
      </c>
      <c r="J14" s="117"/>
      <c r="K14" s="111" t="n">
        <f aca="false">COUNTIF($G$23:$G$82,"=PTE")</f>
        <v>0</v>
      </c>
      <c r="L14" s="112"/>
      <c r="M14" s="125" t="s">
        <v>44</v>
      </c>
      <c r="N14" s="126" t="n">
        <f aca="false">COUNTIF($I$23:$I$82,"&gt;-1")</f>
        <v>13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45</v>
      </c>
      <c r="B15" s="129" t="n">
        <v>7</v>
      </c>
      <c r="C15" s="130" t="n">
        <v>0.2</v>
      </c>
      <c r="D15" s="107"/>
      <c r="E15" s="107"/>
      <c r="F15" s="108" t="n">
        <f aca="false">($B15*$B$7+$C15*$C$7)/100</f>
        <v>6.32</v>
      </c>
      <c r="G15" s="116"/>
      <c r="H15" s="64"/>
      <c r="I15" s="117" t="s">
        <v>46</v>
      </c>
      <c r="J15" s="117"/>
      <c r="K15" s="111" t="n">
        <f aca="false">(COUNTIF($G$23:$G$82,"=PHy"))+(COUNTIF($G$23:$G$82,"=PHe"))+(COUNTIF($G$23:$G$82,"=PHg"))+(COUNTIF($G$23:$G$82,"=PHx"))</f>
        <v>4</v>
      </c>
      <c r="L15" s="112"/>
      <c r="M15" s="131" t="s">
        <v>47</v>
      </c>
      <c r="N15" s="132" t="n">
        <f aca="false">COUNTIF(J23:J82,"=1")</f>
        <v>5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48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49</v>
      </c>
      <c r="N16" s="132" t="n">
        <f aca="false">COUNTIF(J23:J82,"=2")</f>
        <v>6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50</v>
      </c>
      <c r="B17" s="114" t="n">
        <v>8</v>
      </c>
      <c r="C17" s="115" t="n">
        <v>0.2</v>
      </c>
      <c r="D17" s="107"/>
      <c r="E17" s="107"/>
      <c r="F17" s="137"/>
      <c r="G17" s="108" t="n">
        <f aca="false">($B17*$B$7+$C17*$C$7)/100</f>
        <v>7.22</v>
      </c>
      <c r="H17" s="64"/>
      <c r="I17" s="117"/>
      <c r="J17" s="117"/>
      <c r="K17" s="136"/>
      <c r="L17" s="112"/>
      <c r="M17" s="131" t="s">
        <v>51</v>
      </c>
      <c r="N17" s="132" t="n">
        <f aca="false">COUNTIF(J23:J82,"=3")</f>
        <v>2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52</v>
      </c>
      <c r="B18" s="139"/>
      <c r="C18" s="140"/>
      <c r="D18" s="107"/>
      <c r="E18" s="141" t="s">
        <v>53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7.22</v>
      </c>
      <c r="G19" s="149" t="n">
        <f aca="false">SUM(G16:G18)</f>
        <v>7.22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54</v>
      </c>
      <c r="B20" s="157" t="n">
        <f aca="false">SUM(B23:B82)</f>
        <v>8.13802</v>
      </c>
      <c r="C20" s="158" t="n">
        <f aca="false">SUM(C23:C82)</f>
        <v>0.2</v>
      </c>
      <c r="D20" s="159"/>
      <c r="E20" s="160" t="s">
        <v>53</v>
      </c>
      <c r="F20" s="161" t="n">
        <f aca="false">($B20*$B$7+$C20*$C$7)/100</f>
        <v>7.344218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55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56</v>
      </c>
      <c r="B21" s="170" t="n">
        <f aca="false">B20*B7/100</f>
        <v>7.324218</v>
      </c>
      <c r="C21" s="170" t="n">
        <f aca="false">C20*C7/100</f>
        <v>0.02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7.344218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57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58</v>
      </c>
      <c r="B22" s="180" t="s">
        <v>59</v>
      </c>
      <c r="C22" s="181" t="s">
        <v>59</v>
      </c>
      <c r="D22" s="134"/>
      <c r="E22" s="134"/>
      <c r="F22" s="182" t="s">
        <v>60</v>
      </c>
      <c r="G22" s="183" t="s">
        <v>61</v>
      </c>
      <c r="H22" s="134"/>
      <c r="I22" s="184" t="s">
        <v>62</v>
      </c>
      <c r="J22" s="184" t="s">
        <v>63</v>
      </c>
      <c r="K22" s="185" t="s">
        <v>64</v>
      </c>
      <c r="L22" s="185"/>
      <c r="M22" s="185"/>
      <c r="N22" s="185"/>
      <c r="O22" s="185"/>
      <c r="P22" s="186" t="s">
        <v>65</v>
      </c>
      <c r="Q22" s="187" t="s">
        <v>66</v>
      </c>
      <c r="R22" s="188" t="s">
        <v>67</v>
      </c>
      <c r="S22" s="189" t="s">
        <v>68</v>
      </c>
      <c r="T22" s="190" t="s">
        <v>69</v>
      </c>
      <c r="U22" s="188" t="s">
        <v>70</v>
      </c>
      <c r="X22" s="8" t="s">
        <v>71</v>
      </c>
      <c r="Y22" s="8" t="s">
        <v>72</v>
      </c>
      <c r="Z22" s="191" t="s">
        <v>73</v>
      </c>
      <c r="AA22" s="191" t="s">
        <v>74</v>
      </c>
    </row>
    <row r="23" customFormat="false" ht="12.75" hidden="false" customHeight="false" outlineLevel="0" collapsed="false">
      <c r="A23" s="192" t="s">
        <v>75</v>
      </c>
      <c r="B23" s="193" t="n">
        <v>0.001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Enteromorpha intestinalis</v>
      </c>
      <c r="E23" s="195" t="e">
        <f aca="false">IF(D23="",,VLOOKUP(D23,D$22:D22,1,0))</f>
        <v>#N/A</v>
      </c>
      <c r="F23" s="196" t="n">
        <f aca="false">($B23*$B$7+$C23*$C$7)/100</f>
        <v>0.0009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3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Enteromorpha intestinalis</v>
      </c>
      <c r="L23" s="202"/>
      <c r="M23" s="202"/>
      <c r="N23" s="202"/>
      <c r="O23" s="203"/>
      <c r="P23" s="204" t="n">
        <f aca="false">IF(ISTEXT(H23),"",(B23*$B$7/100)+(C23*$C$7/100))</f>
        <v>0.0009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3</v>
      </c>
      <c r="S23" s="205" t="n">
        <f aca="false">IF(ISERROR(Q23*I23*J23),0,Q23*I23*J23)</f>
        <v>6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ENTSPX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29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76</v>
      </c>
      <c r="B24" s="211" t="n">
        <v>2E-005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3" t="e">
        <f aca="false">IF(D24="",,VLOOKUP(D24,D$22:D23,1,0))</f>
        <v>#N/A</v>
      </c>
      <c r="F24" s="214" t="n">
        <f aca="false">($B24*$B$7+$C24*$C$7)/100</f>
        <v>1.8E-005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18"/>
      <c r="M24" s="218"/>
      <c r="N24" s="218"/>
      <c r="O24" s="203"/>
      <c r="P24" s="204" t="n">
        <f aca="false">IF(ISTEXT(H24),"",(B24*$B$7/100)+(C24*$C$7/100))</f>
        <v>1.8E-005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10</v>
      </c>
      <c r="S24" s="205" t="n">
        <f aca="false">IF(ISERROR(Q24*I24*J24),0,Q24*I24*J24)</f>
        <v>10</v>
      </c>
      <c r="T24" s="219" t="n">
        <f aca="false">IF(ISERROR(Q24*J24),0,Q24*J24)</f>
        <v>1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MELSPX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77</v>
      </c>
      <c r="B25" s="211" t="n">
        <v>0.0004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3" t="e">
        <f aca="false">IF(D25="",,VLOOKUP(D25,D$21:D24,1,0))</f>
        <v>#N/A</v>
      </c>
      <c r="F25" s="214" t="n">
        <f aca="false">($B25*$B$7+$C25*$C$7)/100</f>
        <v>0.00036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18"/>
      <c r="M25" s="218"/>
      <c r="N25" s="218"/>
      <c r="O25" s="203"/>
      <c r="P25" s="204" t="n">
        <f aca="false">IF(ISTEXT(H25),"",(B25*$B$7/100)+(C25*$C$7/100))</f>
        <v>0.00036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6</v>
      </c>
      <c r="S25" s="205" t="n">
        <f aca="false">IF(ISERROR(Q25*I25*J25),0,Q25*I25*J25)</f>
        <v>12</v>
      </c>
      <c r="T25" s="219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W25" s="220"/>
      <c r="X25" s="205" t="str">
        <f aca="false">IF(A25="new.cod","NEW.COD",IF(AND((Y25=""),ISTEXT(A25)),A25,IF(Y25="","",INDEX('[1]liste reference'!$A$7:$A$906,Y25))))</f>
        <v>OEDSPX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78</v>
      </c>
      <c r="B26" s="211" t="n">
        <v>0.1006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Vaucheria sp.</v>
      </c>
      <c r="E26" s="213" t="e">
        <f aca="false">IF(D26="",,VLOOKUP(D26,D$22:D25,1,0))</f>
        <v>#N/A</v>
      </c>
      <c r="F26" s="214" t="n">
        <f aca="false">($B26*$B$7+$C26*$C$7)/100</f>
        <v>0.09054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4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Vaucheria sp.</v>
      </c>
      <c r="L26" s="218"/>
      <c r="M26" s="218"/>
      <c r="N26" s="218"/>
      <c r="O26" s="203"/>
      <c r="P26" s="204" t="n">
        <f aca="false">IF(ISTEXT(H26),"",(B26*$B$7/100)+(C26*$C$7/100))</f>
        <v>0.09054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4</v>
      </c>
      <c r="S26" s="205" t="n">
        <f aca="false">IF(ISERROR(Q26*I26*J26),0,Q26*I26*J26)</f>
        <v>4</v>
      </c>
      <c r="T26" s="219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VAUSPX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83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79</v>
      </c>
      <c r="B27" s="211" t="n">
        <v>0.001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Chiloscyphus polyanthos var. polyanthos</v>
      </c>
      <c r="E27" s="213" t="e">
        <f aca="false">IF(D27="",,VLOOKUP(D27,D$22:D26,1,0))</f>
        <v>#N/A</v>
      </c>
      <c r="F27" s="214" t="n">
        <f aca="false">($B27*$B$7+$C27*$C$7)/100</f>
        <v>0.0009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BRh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4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15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Chiloscyphus polyanthos var. polyanthos</v>
      </c>
      <c r="L27" s="221"/>
      <c r="M27" s="221"/>
      <c r="N27" s="221"/>
      <c r="O27" s="222"/>
      <c r="P27" s="204" t="n">
        <f aca="false">IF(ISTEXT(H27),"",(B27*$B$7/100)+(C27*$C$7/100))</f>
        <v>0.0009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15</v>
      </c>
      <c r="S27" s="205" t="n">
        <f aca="false">IF(ISERROR(Q27*I27*J27),0,Q27*I27*J27)</f>
        <v>30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CHIPOL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98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80</v>
      </c>
      <c r="B28" s="211" t="n">
        <v>0.001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Collema fluviatile</v>
      </c>
      <c r="E28" s="213" t="e">
        <f aca="false">IF(D28="",,VLOOKUP(D28,D$22:D27,1,0))</f>
        <v>#N/A</v>
      </c>
      <c r="F28" s="214" t="n">
        <f aca="false">($B28*$B$7+$C28*$C$7)/100</f>
        <v>0.0009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LIC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3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17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3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Collema fluviatile</v>
      </c>
      <c r="L28" s="218"/>
      <c r="M28" s="218"/>
      <c r="N28" s="218"/>
      <c r="O28" s="203"/>
      <c r="P28" s="204" t="n">
        <f aca="false">IF(ISTEXT(H28),"",(B28*$B$7/100)+(C28*$C$7/100))</f>
        <v>0.0009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17</v>
      </c>
      <c r="S28" s="205" t="n">
        <f aca="false">IF(ISERROR(Q28*I28*J28),0,Q28*I28*J28)</f>
        <v>51</v>
      </c>
      <c r="T28" s="219" t="n">
        <f aca="false">IF(ISERROR(Q28*J28),0,Q28*J28)</f>
        <v>3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COLFLU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86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81</v>
      </c>
      <c r="B29" s="211" t="n">
        <v>0.03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Rhynchostegium riparioides</v>
      </c>
      <c r="E29" s="213" t="e">
        <f aca="false">IF(D29="",,VLOOKUP(D29,D$22:D28,1,0))</f>
        <v>#N/A</v>
      </c>
      <c r="F29" s="214" t="n">
        <f aca="false">($B29*$B$7+$C29*$C$7)/100</f>
        <v>0.027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Rhynchostegium riparioides</v>
      </c>
      <c r="L29" s="218"/>
      <c r="M29" s="218"/>
      <c r="N29" s="218"/>
      <c r="O29" s="203"/>
      <c r="P29" s="204" t="n">
        <f aca="false">IF(ISTEXT(H29),"",(B29*$B$7/100)+(C29*$C$7/100))</f>
        <v>0.027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12</v>
      </c>
      <c r="S29" s="205" t="n">
        <f aca="false">IF(ISERROR(Q29*I29*J29),0,Q29*I29*J29)</f>
        <v>12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RHYRIP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253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82</v>
      </c>
      <c r="B30" s="211" t="n">
        <v>0.9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Fontinalis antipyretica</v>
      </c>
      <c r="E30" s="213" t="e">
        <f aca="false">IF(D30="",,VLOOKUP(D30,D$22:D29,1,0))</f>
        <v>#N/A</v>
      </c>
      <c r="F30" s="214" t="n">
        <f aca="false">($B30*$B$7+$C30*$C$7)/100</f>
        <v>0.81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Fontinalis antipyretica</v>
      </c>
      <c r="L30" s="218"/>
      <c r="M30" s="218"/>
      <c r="N30" s="218"/>
      <c r="O30" s="203"/>
      <c r="P30" s="204" t="n">
        <f aca="false">IF(ISTEXT(H30),"",(B30*$B$7/100)+(C30*$C$7/100))</f>
        <v>0.81</v>
      </c>
      <c r="Q30" s="205" t="n">
        <f aca="false">IF(OR(ISTEXT(H30),P30=0),"",IF(P30&lt;0.1,1,IF(P30&lt;1,2,IF(P30&lt;10,3,IF(P30&lt;50,4,IF(P30&gt;=50,5,""))))))</f>
        <v>2</v>
      </c>
      <c r="R30" s="205" t="n">
        <f aca="false">IF(ISERROR(Q30*I30),0,Q30*I30)</f>
        <v>20</v>
      </c>
      <c r="S30" s="205" t="n">
        <f aca="false">IF(ISERROR(Q30*I30*J30),0,Q30*I30*J30)</f>
        <v>20</v>
      </c>
      <c r="T30" s="219" t="n">
        <f aca="false">IF(ISERROR(Q30*J30),0,Q30*J30)</f>
        <v>2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FONANT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211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83</v>
      </c>
      <c r="B31" s="211" t="n">
        <v>0.1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Fontinalis squamosa</v>
      </c>
      <c r="E31" s="213" t="e">
        <f aca="false">IF(D31="",,VLOOKUP(D31,D$22:D30,1,0))</f>
        <v>#N/A</v>
      </c>
      <c r="F31" s="214" t="n">
        <f aca="false">($B31*$B$7+$C31*$C$7)/100</f>
        <v>0.09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BRm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5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16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3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Fontinalis squamosa</v>
      </c>
      <c r="L31" s="218"/>
      <c r="M31" s="218"/>
      <c r="N31" s="218"/>
      <c r="O31" s="203"/>
      <c r="P31" s="204" t="n">
        <f aca="false">IF(ISTEXT(H31),"",(B31*$B$7/100)+(C31*$C$7/100))</f>
        <v>0.09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16</v>
      </c>
      <c r="S31" s="205" t="n">
        <f aca="false">IF(ISERROR(Q31*I31*J31),0,Q31*I31*J31)</f>
        <v>48</v>
      </c>
      <c r="T31" s="219" t="n">
        <f aca="false">IF(ISERROR(Q31*J31),0,Q31*J31)</f>
        <v>3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FONSQU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215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84</v>
      </c>
      <c r="B32" s="211"/>
      <c r="C32" s="212" t="n">
        <v>0.2</v>
      </c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Potamogeton crispus</v>
      </c>
      <c r="E32" s="213" t="e">
        <f aca="false">IF(D32="",,VLOOKUP(D32,D$22:D31,1,0))</f>
        <v>#N/A</v>
      </c>
      <c r="F32" s="214" t="n">
        <f aca="false">($B32*$B$7+$C32*$C$7)/100</f>
        <v>0.02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7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Potamogeton crispus</v>
      </c>
      <c r="L32" s="221"/>
      <c r="M32" s="221"/>
      <c r="N32" s="221"/>
      <c r="O32" s="222"/>
      <c r="P32" s="204" t="n">
        <f aca="false">IF(ISTEXT(H32),"",(B32*$B$7/100)+(C32*$C$7/100))</f>
        <v>0.02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7</v>
      </c>
      <c r="S32" s="205" t="n">
        <f aca="false">IF(ISERROR(Q32*I32*J32),0,Q32*I32*J32)</f>
        <v>14</v>
      </c>
      <c r="T32" s="219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POTCRI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413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16</v>
      </c>
      <c r="B33" s="211" t="n">
        <v>7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peltatus</v>
      </c>
      <c r="E33" s="213" t="e">
        <f aca="false">IF(D33="",,VLOOKUP(D33,D$22:D32,1,0))</f>
        <v>#N/A</v>
      </c>
      <c r="F33" s="214" t="n">
        <f aca="false">($B33*$B$7+$C33*$C$7)/100</f>
        <v>6.3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12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peltatus</v>
      </c>
      <c r="L33" s="218"/>
      <c r="M33" s="218"/>
      <c r="N33" s="218"/>
      <c r="O33" s="203"/>
      <c r="P33" s="204" t="n">
        <f aca="false">IF(ISTEXT(H33),"",(B33*$B$7/100)+(C33*$C$7/100))</f>
        <v>6.3</v>
      </c>
      <c r="Q33" s="205" t="n">
        <f aca="false">IF(OR(ISTEXT(H33),P33=0),"",IF(P33&lt;0.1,1,IF(P33&lt;1,2,IF(P33&lt;10,3,IF(P33&lt;50,4,IF(P33&gt;=50,5,""))))))</f>
        <v>3</v>
      </c>
      <c r="R33" s="205" t="n">
        <f aca="false">IF(ISERROR(Q33*I33),0,Q33*I33)</f>
        <v>36</v>
      </c>
      <c r="S33" s="205" t="n">
        <f aca="false">IF(ISERROR(Q33*I33*J33),0,Q33*I33*J33)</f>
        <v>72</v>
      </c>
      <c r="T33" s="219" t="n">
        <f aca="false">IF(ISERROR(Q33*J33),0,Q33*J33)</f>
        <v>6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RANPEL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464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85</v>
      </c>
      <c r="B34" s="211" t="n">
        <v>0.003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Glyceria fluitans</v>
      </c>
      <c r="E34" s="213" t="e">
        <f aca="false">IF(D34="",,VLOOKUP(D34,D$22:D33,1,0))</f>
        <v>#N/A</v>
      </c>
      <c r="F34" s="223" t="n">
        <f aca="false">($B34*$B$7+$C34*$C$7)/100</f>
        <v>0.0027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14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Glyceria fluitans</v>
      </c>
      <c r="L34" s="218"/>
      <c r="M34" s="218"/>
      <c r="N34" s="218"/>
      <c r="O34" s="203"/>
      <c r="P34" s="204" t="n">
        <f aca="false">IF(ISTEXT(H34),"",(B34*$B$7/100)+(C34*$C$7/100))</f>
        <v>0.0027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14</v>
      </c>
      <c r="S34" s="205" t="n">
        <f aca="false">IF(ISERROR(Q34*I34*J34),0,Q34*I34*J34)</f>
        <v>28</v>
      </c>
      <c r="T34" s="219" t="n">
        <f aca="false">IF(ISERROR(Q34*J34),0,Q34*J34)</f>
        <v>2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GLYFLU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580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86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Veronica beccabunga</v>
      </c>
      <c r="E35" s="213" t="e">
        <f aca="false">IF(D35="",,VLOOKUP(D35,D$22:D34,1,0))</f>
        <v>#N/A</v>
      </c>
      <c r="F35" s="223" t="n">
        <f aca="false">($B35*$B$7+$C35*$C$7)/100</f>
        <v>0.0009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10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1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Veronica beccabunga</v>
      </c>
      <c r="L35" s="218"/>
      <c r="M35" s="218"/>
      <c r="N35" s="218"/>
      <c r="O35" s="203"/>
      <c r="P35" s="204" t="n">
        <f aca="false">IF(ISTEXT(H35),"",(B35*$B$7/100)+(C35*$C$7/100))</f>
        <v>0.0009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10</v>
      </c>
      <c r="S35" s="205" t="n">
        <f aca="false">IF(ISERROR(Q35*I35*J35),0,Q35*I35*J35)</f>
        <v>10</v>
      </c>
      <c r="T35" s="219" t="n">
        <f aca="false">IF(ISERROR(Q35*J35),0,Q35*J35)</f>
        <v>1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VERBEC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690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87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Sioulet</v>
      </c>
      <c r="B84" s="244" t="str">
        <f aca="false">C3</f>
        <v>Sioulet à Combrailles</v>
      </c>
      <c r="C84" s="245" t="n">
        <f aca="false">A4</f>
        <v>40766</v>
      </c>
      <c r="D84" s="246" t="n">
        <f aca="false">IF(ISERROR(SUM($S$23:$S$82)/SUM($T$23:$T$82)),"",SUM($S$23:$S$82)/SUM($T$23:$T$82))</f>
        <v>11.3214285714286</v>
      </c>
      <c r="E84" s="247" t="n">
        <f aca="false">N13</f>
        <v>13</v>
      </c>
      <c r="F84" s="244" t="n">
        <f aca="false">N14</f>
        <v>13</v>
      </c>
      <c r="G84" s="244" t="n">
        <f aca="false">N15</f>
        <v>5</v>
      </c>
      <c r="H84" s="244" t="n">
        <f aca="false">N16</f>
        <v>6</v>
      </c>
      <c r="I84" s="244" t="n">
        <f aca="false">N17</f>
        <v>2</v>
      </c>
      <c r="J84" s="248" t="n">
        <f aca="false">N8</f>
        <v>10.4615384615385</v>
      </c>
      <c r="K84" s="246" t="n">
        <f aca="false">N9</f>
        <v>4.48358830654244</v>
      </c>
      <c r="L84" s="247" t="n">
        <f aca="false">N10</f>
        <v>3</v>
      </c>
      <c r="M84" s="247" t="n">
        <f aca="false">N11</f>
        <v>17</v>
      </c>
      <c r="N84" s="246" t="n">
        <f aca="false">O8</f>
        <v>1.76923076923077</v>
      </c>
      <c r="O84" s="246" t="n">
        <f aca="false">O9</f>
        <v>0.725011052081984</v>
      </c>
      <c r="P84" s="247" t="n">
        <f aca="false">O10</f>
        <v>1</v>
      </c>
      <c r="Q84" s="247" t="n">
        <f aca="false">O11</f>
        <v>3</v>
      </c>
      <c r="R84" s="249" t="n">
        <f aca="false">F21</f>
        <v>7.344218</v>
      </c>
      <c r="S84" s="247" t="n">
        <f aca="false">K11</f>
        <v>0</v>
      </c>
      <c r="T84" s="247" t="n">
        <f aca="false">K12</f>
        <v>4</v>
      </c>
      <c r="U84" s="247" t="n">
        <f aca="false">K13</f>
        <v>4</v>
      </c>
      <c r="V84" s="250" t="n">
        <f aca="false">K14</f>
        <v>0</v>
      </c>
      <c r="W84" s="251" t="n">
        <f aca="false">K15</f>
        <v>4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88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89</v>
      </c>
      <c r="Q87" s="8"/>
      <c r="R87" s="206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90</v>
      </c>
      <c r="Q88" s="8"/>
      <c r="R88" s="206" t="n">
        <f aca="false">VLOOKUP((R87),($R$23:$T$82),2,0)</f>
        <v>72</v>
      </c>
      <c r="S88" s="8"/>
      <c r="T88" s="8"/>
      <c r="U88" s="8"/>
    </row>
    <row r="89" customFormat="false" ht="12.75" hidden="true" customHeight="false" outlineLevel="0" collapsed="false">
      <c r="P89" s="8" t="s">
        <v>91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92</v>
      </c>
      <c r="Q90" s="8"/>
      <c r="R90" s="253" t="n">
        <f aca="false">IF(ISERROR(SUM($S$23:$S$82)/SUM($T$23:$T$82)),"",(SUM($S$23:$S$82)-R88)/(SUM($T$23:$T$82)-R89))</f>
        <v>11.1363636363636</v>
      </c>
      <c r="S90" s="8"/>
    </row>
    <row r="91" customFormat="false" ht="12.75" hidden="true" customHeight="false" outlineLevel="0" collapsed="false">
      <c r="P91" s="205" t="s">
        <v>93</v>
      </c>
      <c r="Q91" s="205"/>
      <c r="R91" s="205" t="str">
        <f aca="false">INDEX('[1]liste reference'!$A$7:$A$906,$S$91)</f>
        <v>RANPEL</v>
      </c>
      <c r="S91" s="8" t="n">
        <f aca="false">IF(ISERROR(MATCH($R$93,'[1]liste reference'!$A$7:$A$906,0)),MATCH($R$93,'[1]liste reference'!$B$7:$B$906,0),(MATCH($R$93,'[1]liste reference'!$A$7:$A$906,0)))</f>
        <v>464</v>
      </c>
      <c r="T91" s="242"/>
    </row>
    <row r="92" customFormat="false" ht="12.75" hidden="true" customHeight="false" outlineLevel="0" collapsed="false">
      <c r="P92" s="8" t="s">
        <v>94</v>
      </c>
      <c r="Q92" s="8"/>
      <c r="R92" s="8" t="n">
        <f aca="false">MATCH(R87,$R$23:$R$82,0)</f>
        <v>11</v>
      </c>
      <c r="S92" s="8"/>
    </row>
    <row r="93" customFormat="false" ht="12.75" hidden="true" customHeight="false" outlineLevel="0" collapsed="false">
      <c r="P93" s="205" t="s">
        <v>95</v>
      </c>
      <c r="Q93" s="8"/>
      <c r="R93" s="205" t="str">
        <f aca="false">INDEX($A$23:$A$82,$R$92)</f>
        <v>RANPEL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2024-03-14T19:15:18Z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