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2100" sheetId="1" state="visible" r:id="rId3"/>
  </sheets>
  <definedNames>
    <definedName function="false" hidden="false" localSheetId="0" name="_xlnm.Print_Area" vbProcedure="false">'04042100'!$A$1:$Q$82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<sst xmlns="http://schemas.openxmlformats.org/spreadsheetml/2006/main" count="166" uniqueCount="101">
  <si>
    <t xml:space="preserve">Relevés floristiques aquatiques - IBMR</t>
  </si>
  <si>
    <t xml:space="preserve">modèle Irstea-GIS</t>
  </si>
  <si>
    <t xml:space="preserve">AQUABIO</t>
  </si>
  <si>
    <t xml:space="preserve">Angèle LORIENT, Anthony ANTOINE</t>
  </si>
  <si>
    <t xml:space="preserve">la Bouble</t>
  </si>
  <si>
    <t xml:space="preserve">BOUBLE À CHAREIL-CINTRAT</t>
  </si>
  <si>
    <t xml:space="preserve">04042100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</si>
  <si>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</si>
  <si>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</si>
  <si>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</si>
  <si>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</si>
  <si>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</si>
  <si>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</si>
  <si>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</si>
  <si>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</si>
  <si>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</si>
  <si>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DIASPX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</si>
  <si>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</si>
  <si>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</si>
  <si>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</si>
  <si>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</si>
  <si>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</si>
  <si>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</si>
  <si>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</si>
  <si>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</si>
  <si>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</si>
  <si>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</si>
  <si>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</si>
  <si>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</si>
  <si>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</si>
  <si>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</si>
  <si>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</si>
  <si>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</si>
  <si>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</si>
  <si>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</si>
  <si>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</si>
  <si>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</si>
  <si>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</si>
  <si>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</si>
  <si>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</si>
  <si>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</si>
  <si>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</si>
  <si>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</si>
  <si>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</si>
  <si>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</si>
  <si>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</si>
  <si>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</si>
  <si>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</si>
  <si>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</si>
  <si>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</si>
  <si>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</si>
  <si>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</si>
  <si>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</si>
  <si>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</si>
  <si>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</si>
  <si>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</si>
  <si>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</si>
  <si>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</si>
  <si>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</si>
  <si>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</si>
  <si>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</si>
  <si>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</si>
  <si>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</si>
  <si>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</si>
  <si>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</si>
  <si>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</si>
  <si>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</si>
  <si>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</si>
  <si>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</si>
  <si>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</si>
  <si>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</si>
  <si>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</si>
  <si>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</si>
  <si>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</si>
  <si>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</si>
  <si>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</si>
  <si>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</si>
  <si>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</si>
  <si>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VAUSPX</t>
  </si>
  <si>
    <t xml:space="preserve"> -</t>
  </si>
  <si>
    <t xml:space="preserve">LEORIP</t>
  </si>
  <si>
    <t xml:space="preserve">CLASPX</t>
  </si>
  <si>
    <t xml:space="preserve">OEDSPX</t>
  </si>
  <si>
    <t xml:space="preserve">PERHYD</t>
  </si>
  <si>
    <t xml:space="preserve">AGRSTO</t>
  </si>
  <si>
    <t xml:space="preserve">LEMMIN</t>
  </si>
  <si>
    <t xml:space="preserve">MELSPX</t>
  </si>
  <si>
    <t xml:space="preserve">PHAARU</t>
  </si>
  <si>
    <t xml:space="preserve">OSCSPX</t>
  </si>
  <si>
    <t xml:space="preserve">TRISPX</t>
  </si>
  <si>
    <t xml:space="preserve">PHOSPX</t>
  </si>
  <si>
    <t xml:space="preserve">STISPX</t>
  </si>
  <si>
    <t xml:space="preserve">HILSPX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</si>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</sst>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2</v>
      </c>
      <c r="B2" s="11"/>
      <c r="C2" s="12" t="s">
        <v>3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4</v>
      </c>
      <c r="B3" s="11"/>
      <c r="C3" s="10" t="s">
        <v>5</v>
      </c>
      <c r="D3" s="21"/>
      <c r="E3" s="21"/>
      <c r="F3" s="22"/>
      <c r="G3" s="22"/>
      <c r="H3" s="21"/>
      <c r="I3" s="6"/>
      <c r="J3" s="13"/>
      <c r="K3" s="23"/>
      <c r="L3" s="24" t="s">
        <v>6</v>
      </c>
      <c r="M3" s="25"/>
      <c r="N3" s="26" t="s">
        <v>7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8</v>
      </c>
      <c r="B4" s="30" t="n">
        <v>42215</v>
      </c>
      <c r="C4" s="31"/>
      <c r="D4" s="21"/>
      <c r="E4" s="21"/>
      <c r="F4" s="31"/>
      <c r="G4" s="32"/>
      <c r="H4" s="21"/>
      <c r="I4" s="6"/>
      <c r="J4" s="33" t="s">
        <v>9</v>
      </c>
      <c r="K4" s="34"/>
      <c r="L4" s="34"/>
      <c r="M4" s="35"/>
      <c r="N4" s="35"/>
      <c r="O4" s="36" t="s">
        <v>10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11</v>
      </c>
      <c r="B5" s="39" t="s">
        <v>12</v>
      </c>
      <c r="C5" s="40" t="s">
        <v>13</v>
      </c>
      <c r="D5" s="41"/>
      <c r="E5" s="41"/>
      <c r="F5" s="42" t="s">
        <v>14</v>
      </c>
      <c r="G5" s="43"/>
      <c r="H5" s="41"/>
      <c r="I5" s="6"/>
      <c r="J5" s="44"/>
      <c r="K5" s="45"/>
      <c r="L5" s="46" t="s">
        <v>15</v>
      </c>
      <c r="M5" s="47" t="n">
        <v>9.53658536585366</v>
      </c>
      <c r="N5" s="48"/>
      <c r="O5" s="49" t="s">
        <v>16</v>
      </c>
      <c r="P5" s="50" t="n">
        <v>9.11428571428571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17</v>
      </c>
      <c r="B6" s="52" t="s">
        <v>18</v>
      </c>
      <c r="C6" s="53" t="s">
        <v>19</v>
      </c>
      <c r="D6" s="54"/>
      <c r="E6" s="54"/>
      <c r="F6" s="55"/>
      <c r="G6" s="43"/>
      <c r="H6" s="41"/>
      <c r="I6" s="6"/>
      <c r="J6" s="56"/>
      <c r="K6" s="57"/>
      <c r="L6" s="58" t="s">
        <v>20</v>
      </c>
      <c r="M6" s="59" t="s">
        <v>21</v>
      </c>
      <c r="N6" s="60"/>
      <c r="O6" s="61" t="n">
        <v>3</v>
      </c>
      <c r="P6" s="62" t="s">
        <v>21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22</v>
      </c>
      <c r="B7" s="65" t="n">
        <v>26</v>
      </c>
      <c r="C7" s="66" t="n">
        <v>74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23</v>
      </c>
      <c r="P7" s="75" t="s">
        <v>24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25</v>
      </c>
      <c r="B8" s="40"/>
      <c r="C8" s="40"/>
      <c r="D8" s="54"/>
      <c r="E8" s="54"/>
      <c r="F8" s="77" t="s">
        <v>26</v>
      </c>
      <c r="G8" s="78"/>
      <c r="H8" s="54"/>
      <c r="I8" s="6"/>
      <c r="J8" s="69"/>
      <c r="K8" s="70"/>
      <c r="L8" s="71"/>
      <c r="M8" s="72"/>
      <c r="N8" s="79" t="s">
        <v>27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28</v>
      </c>
      <c r="B9" s="65" t="n">
        <v>40</v>
      </c>
      <c r="C9" s="66" t="n">
        <v>80</v>
      </c>
      <c r="D9" s="82"/>
      <c r="E9" s="82"/>
      <c r="F9" s="83" t="n">
        <f aca="false">($B9*$B$7+$C9*$C$7)/100</f>
        <v>69.6</v>
      </c>
      <c r="G9" s="84"/>
      <c r="H9" s="41"/>
      <c r="I9" s="6"/>
      <c r="J9" s="85"/>
      <c r="K9" s="86"/>
      <c r="L9" s="71"/>
      <c r="M9" s="87"/>
      <c r="N9" s="79" t="s">
        <v>29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30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31</v>
      </c>
      <c r="L10" s="92"/>
      <c r="M10" s="93"/>
      <c r="N10" s="79" t="s">
        <v>32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33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34</v>
      </c>
      <c r="K11" s="101"/>
      <c r="L11" s="102" t="n">
        <f aca="false">COUNTIF($G$23:$G$82,"=HET")</f>
        <v>0</v>
      </c>
      <c r="M11" s="103"/>
      <c r="N11" s="79" t="s">
        <v>35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36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37</v>
      </c>
      <c r="K12" s="101"/>
      <c r="L12" s="102" t="n">
        <f aca="false">COUNTIF($G$23:$G$82,"=ALG")</f>
        <v>0</v>
      </c>
      <c r="M12" s="103"/>
      <c r="N12" s="107"/>
      <c r="O12" s="108" t="s">
        <v>31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38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39</v>
      </c>
      <c r="K13" s="101"/>
      <c r="L13" s="102" t="n">
        <f aca="false">COUNTIF($G$23:$G$82,"=BRm")+COUNTIF($G$23:$G$82,"=BRh")</f>
        <v>0</v>
      </c>
      <c r="M13" s="103"/>
      <c r="N13" s="111" t="s">
        <v>40</v>
      </c>
      <c r="O13" s="112" t="n">
        <f aca="false">COUNTIF(F23:F82,"&gt;0")</f>
        <v>15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41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42</v>
      </c>
      <c r="K14" s="101"/>
      <c r="L14" s="102" t="n">
        <f aca="false">COUNTIF($G$23:$G$82,"=PTE")+COUNTIF($G$23:$G$82,"=LIC")</f>
        <v>0</v>
      </c>
      <c r="M14" s="103"/>
      <c r="N14" s="114" t="s">
        <v>43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44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45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46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47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48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49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50</v>
      </c>
      <c r="M17" s="129" t="n">
        <f aca="false">IF(ISERROR((O13-(COUNTIF(J23:J82,"nc")))/O13),"-",(O13-(COUNTIF(J23:J82,"nc")))/O13)</f>
        <v>1</v>
      </c>
      <c r="N17" s="111" t="s">
        <v>51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52</v>
      </c>
      <c r="B18" s="132"/>
      <c r="C18" s="133"/>
      <c r="D18" s="82"/>
      <c r="E18" s="134" t="s">
        <v>53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54</v>
      </c>
      <c r="B20" s="154" t="n">
        <f aca="false">SUM(B23:B62)</f>
        <v>40.0460701361299</v>
      </c>
      <c r="C20" s="155" t="n">
        <f aca="false">SUM(C23:C62)</f>
        <v>80.1005011349917</v>
      </c>
      <c r="D20" s="156"/>
      <c r="E20" s="157" t="s">
        <v>53</v>
      </c>
      <c r="F20" s="158" t="n">
        <f aca="false">($B20*$B$7+$C20*$C$7)/100</f>
        <v>69.6863490752876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55</v>
      </c>
      <c r="B21" s="166" t="n">
        <f aca="false">B20*B7/100</f>
        <v>10.4119782353938</v>
      </c>
      <c r="C21" s="166" t="n">
        <f aca="false">C20*C7/100</f>
        <v>59.2743708398938</v>
      </c>
      <c r="D21" s="167" t="s">
        <v>56</v>
      </c>
      <c r="E21" s="168"/>
      <c r="F21" s="169" t="n">
        <f aca="false">B21+C21</f>
        <v>69.6863490752876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57</v>
      </c>
    </row>
    <row r="22" customFormat="false" ht="12.75" hidden="false" customHeight="false" outlineLevel="0" collapsed="false">
      <c r="A22" s="178" t="s">
        <v>58</v>
      </c>
      <c r="B22" s="179" t="s">
        <v>59</v>
      </c>
      <c r="C22" s="179" t="s">
        <v>59</v>
      </c>
      <c r="D22" s="180"/>
      <c r="E22" s="181"/>
      <c r="F22" s="182" t="s">
        <v>60</v>
      </c>
      <c r="G22" s="183" t="s">
        <v>61</v>
      </c>
      <c r="H22" s="82" t="s">
        <v>62</v>
      </c>
      <c r="I22" s="6" t="s">
        <v>63</v>
      </c>
      <c r="J22" s="184" t="s">
        <v>64</v>
      </c>
      <c r="K22" s="184" t="s">
        <v>65</v>
      </c>
      <c r="L22" s="185" t="s">
        <v>66</v>
      </c>
      <c r="M22" s="185"/>
      <c r="N22" s="185"/>
      <c r="O22" s="185"/>
      <c r="P22" s="177" t="s">
        <v>67</v>
      </c>
      <c r="Q22" s="186" t="s">
        <v>68</v>
      </c>
      <c r="R22" s="187" t="s">
        <v>69</v>
      </c>
      <c r="S22" s="188" t="s">
        <v>70</v>
      </c>
      <c r="T22" s="189" t="s">
        <v>71</v>
      </c>
      <c r="U22" s="189" t="s">
        <v>72</v>
      </c>
      <c r="V22" s="190" t="s">
        <v>73</v>
      </c>
      <c r="W22" s="191" t="s">
        <v>74</v>
      </c>
      <c r="X22" s="191" t="s">
        <v>75</v>
      </c>
      <c r="Y22" s="192" t="s">
        <v>76</v>
      </c>
      <c r="Z22" s="192" t="s">
        <v>77</v>
      </c>
    </row>
    <row r="23" customFormat="false" ht="12.75" hidden="false" customHeight="false" outlineLevel="0" collapsed="false">
      <c r="A23" s="193" t="s">
        <v>78</v>
      </c>
      <c r="B23" s="194" t="n">
        <v>0</v>
      </c>
      <c r="C23" s="195" t="n">
        <v>0.00999999977648258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0.00739999983459711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79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VAUSPX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80</v>
      </c>
      <c r="B24" s="211" t="n">
        <v>0.00999999977648258</v>
      </c>
      <c r="C24" s="212" t="n">
        <v>0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0.00259999994188547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79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LEORIP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81</v>
      </c>
      <c r="B25" s="211" t="n">
        <v>11.4315996170044</v>
      </c>
      <c r="C25" s="212" t="n">
        <v>22.8626003265381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19.8905401420593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79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CLASPX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82</v>
      </c>
      <c r="B26" s="211" t="n">
        <v>5.71429014205933</v>
      </c>
      <c r="C26" s="212" t="n">
        <v>11.4359998703003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9.94835534095764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79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OEDSPX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83</v>
      </c>
      <c r="B27" s="211" t="n">
        <v>0</v>
      </c>
      <c r="C27" s="212" t="n">
        <v>0.00999999977648258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0.00739999983459711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79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PERHYD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84</v>
      </c>
      <c r="B28" s="211" t="n">
        <v>0</v>
      </c>
      <c r="C28" s="212" t="n">
        <v>0.00999999977648258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0.00739999983459711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79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AGRSTO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85</v>
      </c>
      <c r="B29" s="211" t="n">
        <v>0</v>
      </c>
      <c r="C29" s="212" t="n">
        <v>0.00999999977648258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0.00739999983459711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79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LEMMIN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86</v>
      </c>
      <c r="B30" s="211" t="n">
        <v>11.4286003112793</v>
      </c>
      <c r="C30" s="212" t="n">
        <v>22.8633003234863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19.8902783203125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79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MELSPX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87</v>
      </c>
      <c r="B31" s="211" t="n">
        <v>0.00999999977648258</v>
      </c>
      <c r="C31" s="212" t="n">
        <v>0.00999999977648258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0.00999999977648258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79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PHAARU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88</v>
      </c>
      <c r="B32" s="211" t="n">
        <v>0</v>
      </c>
      <c r="C32" s="212" t="n">
        <v>0.00999999977648258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0.00739999983459711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79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OSCSPX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89</v>
      </c>
      <c r="B33" s="211" t="n">
        <v>5.71429014205933</v>
      </c>
      <c r="C33" s="212" t="n">
        <v>11.4300003051758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9.9439156627655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79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TRISPX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16</v>
      </c>
      <c r="B34" s="211" t="n">
        <v>5.71728992462158</v>
      </c>
      <c r="C34" s="212" t="n">
        <v>11.4286003112793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9.94365961074829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79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DIASPX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90</v>
      </c>
      <c r="B35" s="211" t="n">
        <v>0</v>
      </c>
      <c r="C35" s="212" t="n">
        <v>0.00999999977648258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0.00739999983459711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79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PHOSPX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91</v>
      </c>
      <c r="B36" s="211" t="n">
        <v>0.00999999977648258</v>
      </c>
      <c r="C36" s="212" t="n">
        <v>0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0.00259999994188547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19"/>
      <c r="N36" s="219"/>
      <c r="O36" s="219"/>
      <c r="P36" s="220" t="s">
        <v>79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STISPX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 t="s">
        <v>92</v>
      </c>
      <c r="B37" s="211" t="n">
        <v>0.00999999977648258</v>
      </c>
      <c r="C37" s="212" t="n">
        <v>0.00999999977648258</v>
      </c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n">
        <f aca="false">IF(AND(OR(A37="",A37="!!!!!!"),B37="",C37=""),"",IF(OR(AND(B37="",C37=""),ISERROR(C37+B37)),"!!!",($B37*$B$7+$C37*$C$7)/100))</f>
        <v>0.00999999977648258</v>
      </c>
      <c r="G37" s="216" t="str">
        <f aca="false">IF(A37="","",IF(ISERROR(VLOOKUP($A37,,9,0)),IF(ISERROR(VLOOKUP($A37,,8,0)),"    -",VLOOKUP($A37,,8,0)),VLOOKUP($A37,,9,0)))</f>
        <v>    -</v>
      </c>
      <c r="H37" s="217" t="str">
        <f aca="false">IF(A37="","x",IF(ISERROR(VLOOKUP($A37,,10,0)),IF(ISERROR(VLOOKUP($A37,,9,0)),"x",VLOOKUP($A37,,9,0)),VLOOKUP($A37,,10,0)))</f>
        <v>x</v>
      </c>
      <c r="I37" s="6" t="n">
        <f aca="false">IF(A37="","",1)</f>
        <v>1</v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>non répertorié ou synonyme. Vérifiez !</v>
      </c>
      <c r="M37" s="219"/>
      <c r="N37" s="219"/>
      <c r="O37" s="219"/>
      <c r="P37" s="220" t="s">
        <v>79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>HILSPX</v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79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79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79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79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79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79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79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79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79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79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79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79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79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79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79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79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79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79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79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79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79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79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79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79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tru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79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tru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79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tru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79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79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79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79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79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79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79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79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79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79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79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79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79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79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79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79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79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79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79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69.6863490752876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la Bouble</v>
      </c>
      <c r="B84" s="175" t="str">
        <f aca="false">C3</f>
        <v>BOUBLE À CHAREIL-CINTRAT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15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69.6863490752876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93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94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95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96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97</v>
      </c>
      <c r="S90" s="6" t="s">
        <v>10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98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99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100</v>
      </c>
      <c r="S93" s="6"/>
      <c r="T93" s="207" t="str">
        <f aca="false">INDEX($A$23:$A$82,$T$92)</f>
        <v>VAUSPX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2024-04-17T19:34:51Z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