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31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'04043100'!$A$1:$O$82</definedName>
    <definedName function="false" hidden="false" localSheetId="0" name="Excel_BuiltIn__FilterDatabase" vbProcedure="false">'04043100'!$A$23:$J$84</definedName>
    <definedName function="false" hidden="false" localSheetId="0" name="NOM" vbProcedure="false">'04043100'!$H$1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<sst xmlns="http://schemas.openxmlformats.org/spreadsheetml/2006/main" count="106" uniqueCount="102">
  <si>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</si>
  <si>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</si>
  <si>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</si>
  <si>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Eva AUZERIC, Jérôme SIMON, Sébastien BASSOMPIERRE</t>
  </si>
  <si>
    <t xml:space="preserve">conforme AFNOR T90-395 oct. 2003</t>
  </si>
  <si>
    <t xml:space="preserve">la Sioule</t>
  </si>
  <si>
    <t xml:space="preserve">SIOULE à CONTIGNY</t>
  </si>
  <si>
    <t xml:space="preserve">04043100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</si>
  <si>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</si>
  <si>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</si>
  <si>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</si>
  <si>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</si>
  <si>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</si>
  <si>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</si>
  <si>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</si>
  <si>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</si>
  <si>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STISPX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</si>
  <si>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</si>
  <si>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</si>
  <si>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</si>
  <si>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</si>
  <si>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</si>
  <si>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</si>
  <si>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</si>
  <si>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</si>
  <si>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</si>
  <si>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</si>
  <si>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</si>
  <si>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</si>
  <si>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</si>
  <si>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</si>
  <si>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</si>
  <si>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</si>
  <si>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</si>
  <si>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</si>
  <si>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</si>
  <si>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</si>
  <si>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</si>
  <si>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</si>
  <si>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</si>
  <si>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</si>
  <si>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</si>
  <si>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</si>
  <si>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</si>
  <si>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</si>
  <si>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</si>
  <si>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</si>
  <si>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</si>
  <si>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</si>
  <si>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</si>
  <si>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</si>
  <si>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</si>
  <si>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</si>
  <si>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</si>
  <si>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</si>
  <si>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</si>
  <si>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</si>
  <si>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</si>
  <si>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(69,7962220944464 %)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</si>
  <si>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</si>
  <si>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</si>
  <si>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</si>
  <si>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</si>
  <si>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</si>
  <si>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</si>
  <si>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</si>
  <si>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</si>
  <si>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</si>
  <si>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</si>
  <si>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</si>
  <si>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</si>
  <si>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</si>
  <si>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</si>
  <si>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</si>
  <si>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</si>
  <si>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</si>
  <si>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</si>
  <si>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</si>
  <si>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LYNSPX</t>
  </si>
  <si>
    <t xml:space="preserve">RHYRIP</t>
  </si>
  <si>
    <t xml:space="preserve">AMBRIP</t>
  </si>
  <si>
    <t xml:space="preserve">VAUSPX</t>
  </si>
  <si>
    <t xml:space="preserve">OEDSPX</t>
  </si>
  <si>
    <t xml:space="preserve">RANFLU</t>
  </si>
  <si>
    <t xml:space="preserve">PHOSPX</t>
  </si>
  <si>
    <t xml:space="preserve">HILSPX</t>
  </si>
  <si>
    <t xml:space="preserve">MYRSPI</t>
  </si>
  <si>
    <t xml:space="preserve">Newcod</t>
  </si>
  <si>
    <t xml:space="preserve">Leptolyngbya sp.</t>
  </si>
  <si>
    <t xml:space="preserve">MELSPX</t>
  </si>
  <si>
    <t xml:space="preserve">DIASPX</t>
  </si>
  <si>
    <t xml:space="preserve">CLASPX</t>
  </si>
  <si>
    <t xml:space="preserve">SPISPX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</si>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</sst>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5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41509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10.3265306122449</v>
      </c>
      <c r="M5" s="52"/>
      <c r="N5" s="53" t="s">
        <v>16</v>
      </c>
      <c r="O5" s="54" t="n">
        <v>9.80487804878049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/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100</v>
      </c>
      <c r="C7" s="66"/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65</v>
      </c>
      <c r="C9" s="86"/>
      <c r="D9" s="87"/>
      <c r="E9" s="87"/>
      <c r="F9" s="88" t="n">
        <f aca="false">($B9*$B$7+$C9*$C$7)/100</f>
        <v>65</v>
      </c>
      <c r="G9" s="89"/>
      <c r="H9" s="90"/>
      <c r="I9" s="91"/>
      <c r="J9" s="92"/>
      <c r="K9" s="72"/>
      <c r="L9" s="93"/>
      <c r="M9" s="82" t="s">
        <v>29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/>
      <c r="C10" s="98"/>
      <c r="D10" s="99"/>
      <c r="E10" s="99"/>
      <c r="F10" s="88"/>
      <c r="G10" s="89"/>
      <c r="H10" s="100"/>
      <c r="I10" s="101"/>
      <c r="J10" s="102" t="s">
        <v>31</v>
      </c>
      <c r="K10" s="102"/>
      <c r="L10" s="103"/>
      <c r="M10" s="104" t="s">
        <v>32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33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34</v>
      </c>
      <c r="J11" s="113"/>
      <c r="K11" s="114" t="n">
        <f aca="false">COUNTIF($G$23:$G$82,"=HET")</f>
        <v>0</v>
      </c>
      <c r="L11" s="115"/>
      <c r="M11" s="104" t="s">
        <v>35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36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37</v>
      </c>
      <c r="J12" s="120"/>
      <c r="K12" s="114" t="n">
        <f aca="false">COUNTIF($G$23:$G$82,"=ALG")</f>
        <v>0</v>
      </c>
      <c r="L12" s="121"/>
      <c r="M12" s="122"/>
      <c r="N12" s="123" t="s">
        <v>31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38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39</v>
      </c>
      <c r="J13" s="120"/>
      <c r="K13" s="114" t="n">
        <f aca="false">COUNTIF($G$23:$G$82,"=BRm")+COUNTIF($G$23:$G$82,"=BRh")</f>
        <v>0</v>
      </c>
      <c r="L13" s="115"/>
      <c r="M13" s="126" t="s">
        <v>40</v>
      </c>
      <c r="N13" s="127" t="n">
        <f aca="false">COUNTIF(F23:F82,"&gt;0")</f>
        <v>15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41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42</v>
      </c>
      <c r="J14" s="120"/>
      <c r="K14" s="114" t="n">
        <f aca="false">COUNTIF($G$23:$G$82,"=PTE")+COUNTIF($G$23:$G$82,"=LIC")</f>
        <v>0</v>
      </c>
      <c r="L14" s="115"/>
      <c r="M14" s="130" t="s">
        <v>43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44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45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46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47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48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49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50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51</v>
      </c>
      <c r="B18" s="144"/>
      <c r="C18" s="145"/>
      <c r="D18" s="110"/>
      <c r="E18" s="146" t="s">
        <v>52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53</v>
      </c>
      <c r="B20" s="164" t="n">
        <f aca="false">SUM(B23:B82)</f>
        <v>69.7962220944464</v>
      </c>
      <c r="C20" s="165" t="n">
        <f aca="false">SUM(C23:C82)</f>
        <v>0</v>
      </c>
      <c r="D20" s="166"/>
      <c r="E20" s="167" t="s">
        <v>52</v>
      </c>
      <c r="F20" s="168" t="n">
        <f aca="false">($B20*$B$7+$C20*$C$7)/100</f>
        <v>69.7962220944464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54</v>
      </c>
      <c r="R20" s="9"/>
      <c r="S20" s="9"/>
      <c r="T20" s="9"/>
      <c r="U20" s="9"/>
      <c r="V20" s="9"/>
      <c r="W20" s="149" t="s">
        <v>55</v>
      </c>
    </row>
    <row r="21" customFormat="false" ht="12.75" hidden="false" customHeight="false" outlineLevel="0" collapsed="false">
      <c r="A21" s="177" t="s">
        <v>56</v>
      </c>
      <c r="B21" s="178" t="n">
        <f aca="false">B20*B7/100</f>
        <v>69.7962220944464</v>
      </c>
      <c r="C21" s="178" t="n">
        <f aca="false">C20*C7/100</f>
        <v>0</v>
      </c>
      <c r="D21" s="110" t="str">
        <f aca="false">IF(F21=0,"",IF((ABS(F21-F19))&gt;(0.2*F21),CONCATENATE(" rec. par taxa (",F21," %) supérieur à 20 % !"),""))</f>
        <v> rec. par taxa (69,7962220944464 %)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69.7962220944464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57</v>
      </c>
      <c r="R21" s="9"/>
      <c r="S21" s="9"/>
      <c r="T21" s="9"/>
      <c r="U21" s="9"/>
      <c r="V21" s="9"/>
      <c r="W21" s="149" t="s">
        <v>58</v>
      </c>
    </row>
    <row r="22" customFormat="false" ht="12.75" hidden="false" customHeight="false" outlineLevel="0" collapsed="false">
      <c r="A22" s="188" t="s">
        <v>59</v>
      </c>
      <c r="B22" s="189" t="s">
        <v>60</v>
      </c>
      <c r="C22" s="190" t="s">
        <v>60</v>
      </c>
      <c r="D22" s="139"/>
      <c r="E22" s="139"/>
      <c r="F22" s="191" t="s">
        <v>61</v>
      </c>
      <c r="G22" s="192" t="s">
        <v>62</v>
      </c>
      <c r="H22" s="139"/>
      <c r="I22" s="193" t="s">
        <v>63</v>
      </c>
      <c r="J22" s="193" t="s">
        <v>64</v>
      </c>
      <c r="K22" s="194" t="s">
        <v>65</v>
      </c>
      <c r="L22" s="194"/>
      <c r="M22" s="194"/>
      <c r="N22" s="194"/>
      <c r="O22" s="194"/>
      <c r="P22" s="195" t="s">
        <v>66</v>
      </c>
      <c r="Q22" s="196" t="s">
        <v>67</v>
      </c>
      <c r="R22" s="197" t="s">
        <v>68</v>
      </c>
      <c r="S22" s="198" t="s">
        <v>69</v>
      </c>
      <c r="T22" s="199" t="s">
        <v>70</v>
      </c>
      <c r="U22" s="200" t="s">
        <v>71</v>
      </c>
      <c r="V22" s="198" t="s">
        <v>72</v>
      </c>
      <c r="Y22" s="9" t="s">
        <v>73</v>
      </c>
      <c r="Z22" s="9" t="s">
        <v>74</v>
      </c>
      <c r="AA22" s="201" t="s">
        <v>75</v>
      </c>
      <c r="AB22" s="201" t="s">
        <v>76</v>
      </c>
      <c r="AC22" s="201" t="s">
        <v>77</v>
      </c>
    </row>
    <row r="23" customFormat="false" ht="12.75" hidden="false" customHeight="false" outlineLevel="0" collapsed="false">
      <c r="A23" s="202" t="s">
        <v>78</v>
      </c>
      <c r="B23" s="203" t="n">
        <v>0.00999999977648258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0.00999999977648258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LYNSPX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0.00999999977648258</v>
      </c>
      <c r="C24" s="222" t="n">
        <v>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RHYRIP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AMBRIP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0.00999999977648258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VAUSPX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0.00999999977648258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OEDSPX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RANFLU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0.0171428993344307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0.0171428993344307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PHOSPX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0.699999988079071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0.699999988079071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HILSPX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5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5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MYRSPI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87</v>
      </c>
      <c r="B32" s="221" t="n">
        <v>5.2941198348999</v>
      </c>
      <c r="C32" s="222" t="n">
        <v>0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5.2941198348999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>No</v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Newcod</v>
      </c>
      <c r="Z32" s="9" t="str">
        <f aca="false">IF(ISERROR(MATCH(A32,,0)),IF(ISERROR(MATCH(A32,,0)),"",(MATCH(A32,,0))),(MATCH(A32,,0)))</f>
        <v/>
      </c>
      <c r="AA32" s="218"/>
      <c r="AB32" s="220" t="s">
        <v>88</v>
      </c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5.2956600189209</v>
      </c>
      <c r="C33" s="222" t="n">
        <v>0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5.2956600189209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MELSPX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90</v>
      </c>
      <c r="B34" s="221" t="n">
        <v>10.5909996032715</v>
      </c>
      <c r="C34" s="222" t="n">
        <v>0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10.5909996032715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DIASPX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91</v>
      </c>
      <c r="B35" s="221" t="n">
        <v>10.5984001159668</v>
      </c>
      <c r="C35" s="222" t="n">
        <v>0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10.5984001159668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CLASPX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92</v>
      </c>
      <c r="B36" s="221" t="n">
        <v>14.9434995651245</v>
      </c>
      <c r="C36" s="222" t="n">
        <v>0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14.9434995651245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SPISPX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16</v>
      </c>
      <c r="B37" s="221" t="n">
        <v>17.2964000701904</v>
      </c>
      <c r="C37" s="222" t="n">
        <v>0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17.2964000701904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STISPX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93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Sioule</v>
      </c>
      <c r="B84" s="256" t="str">
        <f aca="false">C3</f>
        <v>SIOULE à CONTIGNY</v>
      </c>
      <c r="C84" s="257" t="n">
        <f aca="false">A4</f>
        <v>41509</v>
      </c>
      <c r="D84" s="258" t="str">
        <f aca="false">IF(ISERROR(SUM($T$23:$T$82)/SUM($U$23:$U$82)),"",SUM($T$23:$T$82)/SUM($U$23:$U$82))</f>
        <v/>
      </c>
      <c r="E84" s="259" t="n">
        <f aca="false">N13</f>
        <v>15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69.7962220944464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94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95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96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97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98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99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100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101</v>
      </c>
      <c r="R93" s="9"/>
      <c r="S93" s="215" t="str">
        <f aca="false">INDEX($A$23:$A$82,$S$92)</f>
        <v>LYNSPX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32">
    <cfRule type="expression" priority="28" aboveAverage="0" equalAverage="0" bottom="0" percent="0" rank="0" text="" dxfId="26">
      <formula>ISTEXT($E32)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2024-04-09T21:38:20Z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