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 a chatel de neuvre" sheetId="1" state="visible" r:id="rId3"/>
  </sheets>
  <externalReferences>
    <externalReference r:id="rId4"/>
  </externalReferences>
  <definedNames>
    <definedName function="false" hidden="false" localSheetId="0" name="_xlnm.Print_Area" vbProcedure="false">'allier a chatel de neuvre'!$A$1:$O$82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<sst xmlns="http://schemas.openxmlformats.org/spreadsheetml/2006/main" count="130" uniqueCount="116">
  <si>
    <t xml:space="preserve">Relevés floristiques aquatiques - IBMR</t>
  </si>
  <si>
    <t xml:space="preserve">GIS Macrophytes - juillet 2011</t>
  </si>
  <si>
    <t xml:space="preserve">EEC</t>
  </si>
  <si>
    <t xml:space="preserve">Marle Mickael / Coudreuse Julie</t>
  </si>
  <si>
    <t xml:space="preserve">conforme AFNOR T90-395 oct. 2003</t>
  </si>
  <si>
    <t xml:space="preserve">Allier</t>
  </si>
  <si>
    <t xml:space="preserve">Allier à Chatel de Neuvre</t>
  </si>
  <si>
    <t xml:space="preserve">04043200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</si>
  <si>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</si>
  <si>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</si>
  <si>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</si>
  <si>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</si>
  <si>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</si>
  <si>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</si>
  <si>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</si>
  <si>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</si>
  <si>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</si>
  <si>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</si>
  <si>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</si>
  <si>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</si>
  <si>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</si>
  <si>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</si>
  <si>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</si>
  <si>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</si>
  <si>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</si>
  <si>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</si>
  <si>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</si>
  <si>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</si>
  <si>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</si>
  <si>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</si>
  <si>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</si>
  <si>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</si>
  <si>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</si>
  <si>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</si>
  <si>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</si>
  <si>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</si>
  <si>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</si>
  <si>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</si>
  <si>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</si>
  <si>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</si>
  <si>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</si>
  <si>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</si>
  <si>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</si>
  <si>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</si>
  <si>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</si>
  <si>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</si>
  <si>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</si>
  <si>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</si>
  <si>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</si>
  <si>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</si>
  <si>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</si>
  <si>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</si>
  <si>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</si>
  <si>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</si>
  <si>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</si>
  <si>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</si>
  <si>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</si>
  <si>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</si>
  <si>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</si>
  <si>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</si>
  <si>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</si>
  <si>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</si>
  <si>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</si>
  <si>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</si>
  <si>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</si>
  <si>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</si>
  <si>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</si>
  <si>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</si>
  <si>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</si>
  <si>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</si>
  <si>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</si>
  <si>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</si>
  <si>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</si>
  <si>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</si>
  <si>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</si>
  <si>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DIASPX</t>
  </si>
  <si>
    <t xml:space="preserve">OEDSPX</t>
  </si>
  <si>
    <t xml:space="preserve">OSCSPX</t>
  </si>
  <si>
    <t xml:space="preserve">SPISPX</t>
  </si>
  <si>
    <t xml:space="preserve">VAUSPX</t>
  </si>
  <si>
    <t xml:space="preserve">CALPLA</t>
  </si>
  <si>
    <t xml:space="preserve">CERDEM</t>
  </si>
  <si>
    <t xml:space="preserve">ELONUT</t>
  </si>
  <si>
    <t xml:space="preserve">LEMMIN</t>
  </si>
  <si>
    <t xml:space="preserve">MYRSPI</t>
  </si>
  <si>
    <t xml:space="preserve">POTNOD</t>
  </si>
  <si>
    <t xml:space="preserve">cf.</t>
  </si>
  <si>
    <t xml:space="preserve">RANFLU</t>
  </si>
  <si>
    <t xml:space="preserve">SPRPOL</t>
  </si>
  <si>
    <t xml:space="preserve">ALIPLA</t>
  </si>
  <si>
    <t xml:space="preserve">CYPFUS</t>
  </si>
  <si>
    <t xml:space="preserve">LUDGRA</t>
  </si>
  <si>
    <t xml:space="preserve">LYCEUR</t>
  </si>
  <si>
    <t xml:space="preserve">LYTSAL</t>
  </si>
  <si>
    <t xml:space="preserve">PHAARU</t>
  </si>
  <si>
    <t xml:space="preserve">POLHYD</t>
  </si>
  <si>
    <t xml:space="preserve">VERANA</t>
  </si>
  <si>
    <t xml:space="preserve">BIDSPX</t>
  </si>
  <si>
    <t xml:space="preserve">bidens frondosa</t>
  </si>
  <si>
    <t xml:space="preserve">MYSAQU</t>
  </si>
  <si>
    <t xml:space="preserve">POLLAP</t>
  </si>
  <si>
    <t xml:space="preserve">POLSPX</t>
  </si>
  <si>
    <t xml:space="preserve">polygonum persicaria</t>
  </si>
  <si>
    <t xml:space="preserve">PULDYS</t>
  </si>
  <si>
    <t xml:space="preserve">pulicaria vulgaris</t>
  </si>
  <si>
    <t xml:space="preserve">NEWCOD</t>
  </si>
  <si>
    <t xml:space="preserve">plantago major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</si>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</sst>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40745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</v>
      </c>
      <c r="M5" s="51"/>
      <c r="N5" s="52" t="s">
        <v>16</v>
      </c>
      <c r="O5" s="53" t="n">
        <v>7.88571428571429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8.4</v>
      </c>
      <c r="O8" s="80" t="n">
        <f aca="false">AVERAGE(J23:J82)</f>
        <v>1.6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17.2</v>
      </c>
      <c r="C9" s="83"/>
      <c r="D9" s="84"/>
      <c r="E9" s="84"/>
      <c r="F9" s="85" t="n">
        <f aca="false">($B9*$B$7+$C9*$C$7)/100</f>
        <v>17.2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2.47938871923154</v>
      </c>
      <c r="O9" s="80" t="n">
        <f aca="false">STDEV(J23:J82)</f>
        <v>0.598243041616119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12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1.9</v>
      </c>
      <c r="C12" s="115"/>
      <c r="D12" s="107"/>
      <c r="E12" s="107"/>
      <c r="F12" s="108" t="n">
        <f aca="false">($B12*$B$7+$C12*$C$7)/100</f>
        <v>1.9</v>
      </c>
      <c r="G12" s="116"/>
      <c r="H12" s="64"/>
      <c r="I12" s="117" t="s">
        <v>37</v>
      </c>
      <c r="J12" s="117"/>
      <c r="K12" s="111" t="n">
        <f aca="false">COUNTIF($G$23:$G$82,"=ALG")</f>
        <v>7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0</v>
      </c>
      <c r="L13" s="112"/>
      <c r="M13" s="122" t="s">
        <v>40</v>
      </c>
      <c r="N13" s="123" t="n">
        <f aca="false">COUNTIF(F23:F82,"&gt;0")</f>
        <v>29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20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15.3</v>
      </c>
      <c r="C15" s="130"/>
      <c r="D15" s="107"/>
      <c r="E15" s="107"/>
      <c r="F15" s="108" t="n">
        <f aca="false">($B15*$B$7+$C15*$C$7)/100</f>
        <v>15.3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21</v>
      </c>
      <c r="L15" s="112"/>
      <c r="M15" s="131" t="s">
        <v>46</v>
      </c>
      <c r="N15" s="132" t="n">
        <f aca="false">COUNTIF(J23:J82,"=1")</f>
        <v>9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10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2.2</v>
      </c>
      <c r="C17" s="115"/>
      <c r="D17" s="107"/>
      <c r="E17" s="107"/>
      <c r="F17" s="137"/>
      <c r="G17" s="108" t="n">
        <f aca="false">($B17*$B$7+$C17*$C$7)/100</f>
        <v>2.2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15</v>
      </c>
      <c r="C18" s="140"/>
      <c r="D18" s="107"/>
      <c r="E18" s="141" t="s">
        <v>52</v>
      </c>
      <c r="F18" s="137"/>
      <c r="G18" s="108" t="n">
        <f aca="false">($B18*$B$7+$C18*$C$7)/100</f>
        <v>15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17.2</v>
      </c>
      <c r="G19" s="149" t="n">
        <f aca="false">SUM(G16:G18)</f>
        <v>17.2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17.2093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17.2093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17.2093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17.2093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1.0009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1.0009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1.0009</v>
      </c>
      <c r="Q23" s="205" t="n">
        <f aca="false">IF(OR(ISTEXT(H23),P23=0),"",IF(P23&lt;0.1,1,IF(P23&lt;1,2,IF(P23&lt;10,3,IF(P23&lt;50,4,IF(P23&gt;=50,5,""))))))</f>
        <v>3</v>
      </c>
      <c r="R23" s="205" t="n">
        <f aca="false">IF(ISERROR(Q23*I23),0,Q23*I23)</f>
        <v>18</v>
      </c>
      <c r="S23" s="205" t="n">
        <f aca="false">IF(ISERROR(Q23*I23*J23),0,Q23*I23*J23)</f>
        <v>18</v>
      </c>
      <c r="T23" s="205" t="n">
        <f aca="false">IF(ISERROR(Q23*J23),0,Q23*J23)</f>
        <v>3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0.0161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0.0161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0.0161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12</v>
      </c>
      <c r="S24" s="205" t="n">
        <f aca="false">IF(ISERROR(Q24*I24*J24),0,Q24*I24*J24)</f>
        <v>24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0.7841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3" t="e">
        <f aca="false">IF(D25="",,VLOOKUP(D25,D$22:D24,1,0))</f>
        <v>#N/A</v>
      </c>
      <c r="F25" s="214" t="n">
        <f aca="false">($B25*$B$7+$C25*$C$7)/100</f>
        <v>0.7841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18"/>
      <c r="M25" s="218"/>
      <c r="N25" s="218"/>
      <c r="O25" s="203"/>
      <c r="P25" s="204" t="n">
        <f aca="false">IF(ISTEXT(H25),"",(B25*$B$7/100)+(C25*$C$7/100))</f>
        <v>0.7841</v>
      </c>
      <c r="Q25" s="205" t="n">
        <f aca="false">IF(OR(ISTEXT(H25),P25=0),"",IF(P25&lt;0.1,1,IF(P25&lt;1,2,IF(P25&lt;10,3,IF(P25&lt;50,4,IF(P25&gt;=50,5,""))))))</f>
        <v>2</v>
      </c>
      <c r="R25" s="205" t="n">
        <f aca="false">IF(ISERROR(Q25*I25),0,Q25*I25)</f>
        <v>20</v>
      </c>
      <c r="S25" s="205" t="n">
        <f aca="false">IF(ISERROR(Q25*I25*J25),0,Q25*I25*J25)</f>
        <v>20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0.001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Oedogonium sp.</v>
      </c>
      <c r="E26" s="213" t="e">
        <f aca="false">IF(D26="",,VLOOKUP(D26,D$22:D25,1,0))</f>
        <v>#N/A</v>
      </c>
      <c r="F26" s="214" t="n">
        <f aca="false">($B26*$B$7+$C26*$C$7)/100</f>
        <v>0.001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6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Oedogonium sp.</v>
      </c>
      <c r="L26" s="218"/>
      <c r="M26" s="218"/>
      <c r="N26" s="218"/>
      <c r="O26" s="203"/>
      <c r="P26" s="204" t="n">
        <f aca="false">IF(ISTEXT(H26),"",(B26*$B$7/100)+(C26*$C$7/100))</f>
        <v>0.001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6</v>
      </c>
      <c r="S26" s="205" t="n">
        <f aca="false">IF(ISERROR(Q26*I26*J26),0,Q26*I26*J26)</f>
        <v>12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OEDSPX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56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0.098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Oscillatoria sp.       </v>
      </c>
      <c r="E27" s="213" t="e">
        <f aca="false">IF(D27="",,VLOOKUP(D27,D$22:D26,1,0))</f>
        <v>#N/A</v>
      </c>
      <c r="F27" s="214" t="n">
        <f aca="false">($B27*$B$7+$C27*$C$7)/100</f>
        <v>0.098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Oscillatoria sp.       </v>
      </c>
      <c r="L27" s="218"/>
      <c r="M27" s="218"/>
      <c r="N27" s="218"/>
      <c r="O27" s="203"/>
      <c r="P27" s="204" t="n">
        <f aca="false">IF(ISTEXT(H27),"",(B27*$B$7/100)+(C27*$C$7/100))</f>
        <v>0.098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11</v>
      </c>
      <c r="S27" s="205" t="n">
        <f aca="false">IF(ISERROR(Q27*I27*J27),0,Q27*I27*J27)</f>
        <v>11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OSCSPX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0.0183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Spirogyra sp.       </v>
      </c>
      <c r="E28" s="213" t="e">
        <f aca="false">IF(D28="",,VLOOKUP(D28,D$22:D27,1,0))</f>
        <v>#N/A</v>
      </c>
      <c r="F28" s="214" t="n">
        <f aca="false">($B28*$B$7+$C28*$C$7)/100</f>
        <v>0.0183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Spirogyra sp.       </v>
      </c>
      <c r="L28" s="218"/>
      <c r="M28" s="218"/>
      <c r="N28" s="218"/>
      <c r="O28" s="203"/>
      <c r="P28" s="204" t="n">
        <f aca="false">IF(ISTEXT(H28),"",(B28*$B$7/100)+(C28*$C$7/100))</f>
        <v>0.0183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10</v>
      </c>
      <c r="S28" s="205" t="n">
        <f aca="false">IF(ISERROR(Q28*I28*J28),0,Q28*I28*J28)</f>
        <v>10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SPISPX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70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0.0008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Vaucheria sp.</v>
      </c>
      <c r="E29" s="213" t="e">
        <f aca="false">IF(D29="",,VLOOKUP(D29,D$22:D28,1,0))</f>
        <v>#N/A</v>
      </c>
      <c r="F29" s="214" t="n">
        <f aca="false">($B29*$B$7+$C29*$C$7)/100</f>
        <v>0.0008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ALG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2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4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Vaucheria sp.</v>
      </c>
      <c r="L29" s="218"/>
      <c r="M29" s="218"/>
      <c r="N29" s="218"/>
      <c r="O29" s="203"/>
      <c r="P29" s="204" t="n">
        <f aca="false">IF(ISTEXT(H29),"",(B29*$B$7/100)+(C29*$C$7/100))</f>
        <v>0.0008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4</v>
      </c>
      <c r="S29" s="205" t="n">
        <f aca="false">IF(ISERROR(Q29*I29*J29),0,Q29*I29*J29)</f>
        <v>4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VAUSPX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83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0.0011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Callitriche platycarpa</v>
      </c>
      <c r="E30" s="213" t="e">
        <f aca="false">IF(D30="",,VLOOKUP(D30,D$22:D29,1,0))</f>
        <v>#N/A</v>
      </c>
      <c r="F30" s="214" t="n">
        <f aca="false">($B30*$B$7+$C30*$C$7)/100</f>
        <v>0.0011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Callitriche platycarpa</v>
      </c>
      <c r="L30" s="218"/>
      <c r="M30" s="218"/>
      <c r="N30" s="218"/>
      <c r="O30" s="203"/>
      <c r="P30" s="204" t="n">
        <f aca="false">IF(ISTEXT(H30),"",(B30*$B$7/100)+(C30*$C$7/100))</f>
        <v>0.0011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CALPLA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326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0.005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Ceratophyllum demersum    </v>
      </c>
      <c r="E31" s="213" t="e">
        <f aca="false">IF(D31="",,VLOOKUP(D31,D$22:D30,1,0))</f>
        <v>#N/A</v>
      </c>
      <c r="F31" s="214" t="n">
        <f aca="false">($B31*$B$7+$C31*$C$7)/100</f>
        <v>0.005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5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Ceratophyllum demersum    </v>
      </c>
      <c r="L31" s="218"/>
      <c r="M31" s="218"/>
      <c r="N31" s="218"/>
      <c r="O31" s="203"/>
      <c r="P31" s="204" t="n">
        <f aca="false">IF(ISTEXT(H31),"",(B31*$B$7/100)+(C31*$C$7/100))</f>
        <v>0.005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5</v>
      </c>
      <c r="S31" s="205" t="n">
        <f aca="false">IF(ISERROR(Q31*I31*J31),0,Q31*I31*J31)</f>
        <v>10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20"/>
      <c r="X31" s="205" t="str">
        <f aca="false">IF(A31="new.cod","NEW.COD",IF(AND((Y31=""),ISTEXT(A31)),A31,IF(Y31="","",INDEX('[1]liste reference'!$A$7:$A$906,Y31))))</f>
        <v>CERDEM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333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0.005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Elodea nuttallii</v>
      </c>
      <c r="E32" s="213" t="e">
        <f aca="false">IF(D32="",,VLOOKUP(D32,D$22:D31,1,0))</f>
        <v>#N/A</v>
      </c>
      <c r="F32" s="214" t="n">
        <f aca="false">($B32*$B$7+$C32*$C$7)/100</f>
        <v>0.005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8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Elodea nuttallii</v>
      </c>
      <c r="L32" s="218"/>
      <c r="M32" s="218"/>
      <c r="N32" s="218"/>
      <c r="O32" s="203"/>
      <c r="P32" s="204" t="n">
        <f aca="false">IF(ISTEXT(H32),"",(B32*$B$7/100)+(C32*$C$7/100))</f>
        <v>0.005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8</v>
      </c>
      <c r="S32" s="205" t="n">
        <f aca="false">IF(ISERROR(Q32*I32*J32),0,Q32*I32*J32)</f>
        <v>16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ELONUT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346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0.01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Lemna minor</v>
      </c>
      <c r="E33" s="213" t="e">
        <f aca="false">IF(D33="",,VLOOKUP(D33,D$22:D32,1,0))</f>
        <v>#N/A</v>
      </c>
      <c r="F33" s="214" t="n">
        <f aca="false">($B33*$B$7+$C33*$C$7)/100</f>
        <v>0.01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Lemna minor</v>
      </c>
      <c r="L33" s="218"/>
      <c r="M33" s="218"/>
      <c r="N33" s="218"/>
      <c r="O33" s="203"/>
      <c r="P33" s="204" t="n">
        <f aca="false">IF(ISTEXT(H33),"",(B33*$B$7/100)+(C33*$C$7/100))</f>
        <v>0.01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19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LEMMIN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361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84</v>
      </c>
      <c r="B34" s="211" t="n">
        <v>0.2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Myriophyllum spicatum</v>
      </c>
      <c r="E34" s="213" t="e">
        <f aca="false">IF(D34="",,VLOOKUP(D34,D$22:D33,1,0))</f>
        <v>#N/A</v>
      </c>
      <c r="F34" s="221" t="n">
        <f aca="false">($B34*$B$7+$C34*$C$7)/100</f>
        <v>0.2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8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Myriophyllum spicatum</v>
      </c>
      <c r="L34" s="218"/>
      <c r="M34" s="218"/>
      <c r="N34" s="218"/>
      <c r="O34" s="203"/>
      <c r="P34" s="204" t="n">
        <f aca="false">IF(ISTEXT(H34),"",(B34*$B$7/100)+(C34*$C$7/100))</f>
        <v>0.2</v>
      </c>
      <c r="Q34" s="205" t="n">
        <f aca="false">IF(OR(ISTEXT(H34),P34=0),"",IF(P34&lt;0.1,1,IF(P34&lt;1,2,IF(P34&lt;10,3,IF(P34&lt;50,4,IF(P34&gt;=50,5,""))))))</f>
        <v>2</v>
      </c>
      <c r="R34" s="205" t="n">
        <f aca="false">IF(ISERROR(Q34*I34),0,Q34*I34)</f>
        <v>16</v>
      </c>
      <c r="S34" s="205" t="n">
        <f aca="false">IF(ISERROR(Q34*I34*J34),0,Q34*I34*J34)</f>
        <v>32</v>
      </c>
      <c r="T34" s="219" t="n">
        <f aca="false">IF(ISERROR(Q34*J34),0,Q34*J34)</f>
        <v>4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MYRSPI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377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85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Potamogeton nodosus</v>
      </c>
      <c r="E35" s="213" t="e">
        <f aca="false">IF(D35="",,VLOOKUP(D35,D$22:D34,1,0))</f>
        <v>#N/A</v>
      </c>
      <c r="F35" s="221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PHy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7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4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3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Potamogeton nodosus</v>
      </c>
      <c r="L35" s="218"/>
      <c r="M35" s="218"/>
      <c r="N35" s="218"/>
      <c r="O35" s="203" t="s">
        <v>86</v>
      </c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4</v>
      </c>
      <c r="S35" s="205" t="n">
        <f aca="false">IF(ISERROR(Q35*I35*J35),0,Q35*I35*J35)</f>
        <v>12</v>
      </c>
      <c r="T35" s="219" t="n">
        <f aca="false">IF(ISERROR(Q35*J35),0,Q35*J35)</f>
        <v>3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POTNOD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422</v>
      </c>
      <c r="Z35" s="208" t="s">
        <v>86</v>
      </c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87</v>
      </c>
      <c r="B36" s="211" t="n">
        <v>0.0501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Ranunculus fluitans</v>
      </c>
      <c r="E36" s="213" t="e">
        <f aca="false">IF(D36="",,VLOOKUP(D36,D$22:D35,1,0))</f>
        <v>#N/A</v>
      </c>
      <c r="F36" s="221" t="n">
        <f aca="false">($B36*$B$7+$C36*$C$7)/100</f>
        <v>0.0501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PHy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7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10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2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Ranunculus fluitans</v>
      </c>
      <c r="L36" s="218"/>
      <c r="M36" s="218"/>
      <c r="N36" s="218"/>
      <c r="O36" s="203" t="s">
        <v>86</v>
      </c>
      <c r="P36" s="204" t="n">
        <f aca="false">IF(ISTEXT(H36),"",(B36*$B$7/100)+(C36*$C$7/100))</f>
        <v>0.0501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10</v>
      </c>
      <c r="S36" s="205" t="n">
        <f aca="false">IF(ISERROR(Q36*I36*J36),0,Q36*I36*J36)</f>
        <v>20</v>
      </c>
      <c r="T36" s="219" t="n">
        <f aca="false">IF(ISERROR(Q36*J36),0,Q36*J36)</f>
        <v>2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>RANFLU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460</v>
      </c>
      <c r="Z36" s="208" t="s">
        <v>86</v>
      </c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88</v>
      </c>
      <c r="B37" s="211" t="n">
        <v>0.001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Spirodela polyrhiza</v>
      </c>
      <c r="E37" s="213" t="e">
        <f aca="false">IF(D37="",,VLOOKUP(D37,D$22:D36,1,0))</f>
        <v>#N/A</v>
      </c>
      <c r="F37" s="221" t="n">
        <f aca="false">($B37*$B$7+$C37*$C$7)/100</f>
        <v>0.001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PHy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7</v>
      </c>
      <c r="I37" s="216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6</v>
      </c>
      <c r="J37" s="200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2</v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Spirodela polyrhiza</v>
      </c>
      <c r="L37" s="218"/>
      <c r="M37" s="218"/>
      <c r="N37" s="218"/>
      <c r="O37" s="203"/>
      <c r="P37" s="204" t="n">
        <f aca="false">IF(ISTEXT(H37),"",(B37*$B$7/100)+(C37*$C$7/100))</f>
        <v>0.001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6</v>
      </c>
      <c r="S37" s="205" t="n">
        <f aca="false">IF(ISERROR(Q37*I37*J37),0,Q37*I37*J37)</f>
        <v>12</v>
      </c>
      <c r="T37" s="219" t="n">
        <f aca="false">IF(ISERROR(Q37*J37),0,Q37*J37)</f>
        <v>2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SPRPOL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491</v>
      </c>
      <c r="Z37" s="208"/>
      <c r="AA37" s="209"/>
      <c r="BB37" s="8" t="n">
        <f aca="false">IF(A37="","",1)</f>
        <v>1</v>
      </c>
    </row>
    <row r="38" customFormat="false" ht="12.75" hidden="false" customHeight="false" outlineLevel="0" collapsed="false">
      <c r="A38" s="210" t="s">
        <v>89</v>
      </c>
      <c r="B38" s="211" t="n">
        <v>0.0001</v>
      </c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Alisma plantago-aquatica</v>
      </c>
      <c r="E38" s="213" t="e">
        <f aca="false">IF(D38="",,VLOOKUP(D38,D$22:D37,1,0))</f>
        <v>#N/A</v>
      </c>
      <c r="F38" s="221" t="n">
        <f aca="false">($B38*$B$7+$C38*$C$7)/100</f>
        <v>0.0001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PHe</v>
      </c>
      <c r="H38" s="198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8</v>
      </c>
      <c r="I38" s="216" t="n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>8</v>
      </c>
      <c r="J38" s="200" t="n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>2</v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Alisma plantago-aquatica</v>
      </c>
      <c r="L38" s="218"/>
      <c r="M38" s="218"/>
      <c r="N38" s="218"/>
      <c r="O38" s="203"/>
      <c r="P38" s="204" t="n">
        <f aca="false">IF(ISTEXT(H38),"",(B38*$B$7/100)+(C38*$C$7/100))</f>
        <v>0.0001</v>
      </c>
      <c r="Q38" s="205" t="n">
        <f aca="false">IF(OR(ISTEXT(H38),P38=0),"",IF(P38&lt;0.1,1,IF(P38&lt;1,2,IF(P38&lt;10,3,IF(P38&lt;50,4,IF(P38&gt;=50,5,""))))))</f>
        <v>1</v>
      </c>
      <c r="R38" s="205" t="n">
        <f aca="false">IF(ISERROR(Q38*I38),0,Q38*I38)</f>
        <v>8</v>
      </c>
      <c r="S38" s="205" t="n">
        <f aca="false">IF(ISERROR(Q38*I38*J38),0,Q38*I38*J38)</f>
        <v>16</v>
      </c>
      <c r="T38" s="219" t="n">
        <f aca="false">IF(ISERROR(Q38*J38),0,Q38*J38)</f>
        <v>2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>ALIPLA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523</v>
      </c>
      <c r="Z38" s="208"/>
      <c r="AA38" s="209"/>
      <c r="BB38" s="8" t="n">
        <f aca="false">IF(A38="","",1)</f>
        <v>1</v>
      </c>
    </row>
    <row r="39" customFormat="false" ht="12.75" hidden="false" customHeight="false" outlineLevel="0" collapsed="false">
      <c r="A39" s="210" t="s">
        <v>90</v>
      </c>
      <c r="B39" s="211" t="n">
        <v>0.0001</v>
      </c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>Cyperus fuscus</v>
      </c>
      <c r="E39" s="213" t="e">
        <f aca="false">IF(D39="",,VLOOKUP(D39,D$22:D38,1,0))</f>
        <v>#N/A</v>
      </c>
      <c r="F39" s="221" t="n">
        <f aca="false">($B39*$B$7+$C39*$C$7)/100</f>
        <v>0.0001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>PHe</v>
      </c>
      <c r="H39" s="198" t="n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8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>Cyperus fuscus</v>
      </c>
      <c r="L39" s="218"/>
      <c r="M39" s="218"/>
      <c r="N39" s="218"/>
      <c r="O39" s="203"/>
      <c r="P39" s="204" t="n">
        <f aca="false">IF(ISTEXT(H39),"",(B39*$B$7/100)+(C39*$C$7/100))</f>
        <v>0.0001</v>
      </c>
      <c r="Q39" s="205" t="n">
        <f aca="false">IF(OR(ISTEXT(H39),P39=0),"",IF(P39&lt;0.1,1,IF(P39&lt;1,2,IF(P39&lt;10,3,IF(P39&lt;50,4,IF(P39&gt;=50,5,""))))))</f>
        <v>1</v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07"/>
      <c r="X39" s="205" t="str">
        <f aca="false">IF(A39="new.cod","NEW.COD",IF(AND((Y39=""),ISTEXT(A39)),A39,IF(Y39="","",INDEX('[1]liste reference'!$A$7:$A$906,Y39))))</f>
        <v>CYPFUS</v>
      </c>
      <c r="Y39" s="8" t="n">
        <f aca="false">IF(ISERROR(MATCH(A39,'[1]liste reference'!$A$7:$A$906,0)),IF(ISERROR(MATCH(A39,'[1]liste reference'!$B$7:$B$906,0)),"",(MATCH(A39,'[1]liste reference'!$B$7:$B$906,0))),(MATCH(A39,'[1]liste reference'!$A$7:$A$906,0)))</f>
        <v>561</v>
      </c>
      <c r="Z39" s="208"/>
      <c r="AA39" s="209"/>
      <c r="BB39" s="8" t="n">
        <f aca="false">IF(A39="","",1)</f>
        <v>1</v>
      </c>
    </row>
    <row r="40" customFormat="false" ht="12.75" hidden="false" customHeight="false" outlineLevel="0" collapsed="false">
      <c r="A40" s="210" t="s">
        <v>91</v>
      </c>
      <c r="B40" s="211" t="n">
        <v>15</v>
      </c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>Ludwigia grandiflora        </v>
      </c>
      <c r="E40" s="213" t="e">
        <f aca="false">IF(D40="",,VLOOKUP(D40,D$22:D39,1,0))</f>
        <v>#N/A</v>
      </c>
      <c r="F40" s="221" t="n">
        <f aca="false">($B40*$B$7+$C40*$C$7)/100</f>
        <v>15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>PHe</v>
      </c>
      <c r="H40" s="198" t="n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8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>Ludwigia grandiflora        </v>
      </c>
      <c r="L40" s="218"/>
      <c r="M40" s="218"/>
      <c r="N40" s="218"/>
      <c r="O40" s="203"/>
      <c r="P40" s="204" t="n">
        <f aca="false">IF(ISTEXT(H40),"",(B40*$B$7/100)+(C40*$C$7/100))</f>
        <v>15</v>
      </c>
      <c r="Q40" s="205" t="n">
        <f aca="false">IF(OR(ISTEXT(H40),P40=0),"",IF(P40&lt;0.1,1,IF(P40&lt;1,2,IF(P40&lt;10,3,IF(P40&lt;50,4,IF(P40&gt;=50,5,""))))))</f>
        <v>4</v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>LUDGRA</v>
      </c>
      <c r="Y40" s="8" t="n">
        <f aca="false">IF(ISERROR(MATCH(A40,'[1]liste reference'!$A$7:$A$906,0)),IF(ISERROR(MATCH(A40,'[1]liste reference'!$B$7:$B$906,0)),"",(MATCH(A40,'[1]liste reference'!$B$7:$B$906,0))),(MATCH(A40,'[1]liste reference'!$A$7:$A$906,0)))</f>
        <v>599</v>
      </c>
      <c r="Z40" s="208"/>
      <c r="AA40" s="209"/>
      <c r="BB40" s="8" t="n">
        <f aca="false">IF(A40="","",1)</f>
        <v>1</v>
      </c>
    </row>
    <row r="41" customFormat="false" ht="12.75" hidden="false" customHeight="false" outlineLevel="0" collapsed="false">
      <c r="A41" s="210" t="s">
        <v>92</v>
      </c>
      <c r="B41" s="211" t="n">
        <v>0.0051</v>
      </c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>Lycopus europaeus</v>
      </c>
      <c r="E41" s="213" t="e">
        <f aca="false">IF(D41="",,VLOOKUP(D41,D$22:D40,1,0))</f>
        <v>#N/A</v>
      </c>
      <c r="F41" s="221" t="n">
        <f aca="false">($B41*$B$7+$C41*$C$7)/100</f>
        <v>0.0051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>PHe</v>
      </c>
      <c r="H41" s="198" t="n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8</v>
      </c>
      <c r="I41" s="216" t="n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>11</v>
      </c>
      <c r="J41" s="200" t="n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>1</v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>Lycopus europaeus</v>
      </c>
      <c r="L41" s="222"/>
      <c r="M41" s="222"/>
      <c r="N41" s="222"/>
      <c r="O41" s="223"/>
      <c r="P41" s="204" t="n">
        <f aca="false">IF(ISTEXT(H41),"",(B41*$B$7/100)+(C41*$C$7/100))</f>
        <v>0.0051</v>
      </c>
      <c r="Q41" s="205" t="n">
        <f aca="false">IF(OR(ISTEXT(H41),P41=0),"",IF(P41&lt;0.1,1,IF(P41&lt;1,2,IF(P41&lt;10,3,IF(P41&lt;50,4,IF(P41&gt;=50,5,""))))))</f>
        <v>1</v>
      </c>
      <c r="R41" s="205" t="n">
        <f aca="false">IF(ISERROR(Q41*I41),0,Q41*I41)</f>
        <v>11</v>
      </c>
      <c r="S41" s="205" t="n">
        <f aca="false">IF(ISERROR(Q41*I41*J41),0,Q41*I41*J41)</f>
        <v>11</v>
      </c>
      <c r="T41" s="219" t="n">
        <f aca="false">IF(ISERROR(Q41*J41),0,Q41*J41)</f>
        <v>1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>LYCEUR</v>
      </c>
      <c r="Y41" s="8" t="n">
        <f aca="false">IF(ISERROR(MATCH(A41,'[1]liste reference'!$A$7:$A$906,0)),IF(ISERROR(MATCH(A41,'[1]liste reference'!$B$7:$B$906,0)),"",(MATCH(A41,'[1]liste reference'!$B$7:$B$906,0))),(MATCH(A41,'[1]liste reference'!$A$7:$A$906,0)))</f>
        <v>602</v>
      </c>
      <c r="Z41" s="208"/>
      <c r="AA41" s="209"/>
      <c r="BB41" s="8" t="n">
        <f aca="false">IF(A41="","",1)</f>
        <v>1</v>
      </c>
    </row>
    <row r="42" customFormat="false" ht="12.75" hidden="false" customHeight="false" outlineLevel="0" collapsed="false">
      <c r="A42" s="210" t="s">
        <v>93</v>
      </c>
      <c r="B42" s="211" t="n">
        <v>0.0001</v>
      </c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>Lythrum salicaria</v>
      </c>
      <c r="E42" s="213" t="e">
        <f aca="false">IF(D42="",,VLOOKUP(D42,D$22:D41,1,0))</f>
        <v>#N/A</v>
      </c>
      <c r="F42" s="221" t="n">
        <f aca="false">($B42*$B$7+$C42*$C$7)/100</f>
        <v>0.0001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>PHe</v>
      </c>
      <c r="H42" s="198" t="n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8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>Lythrum salicaria</v>
      </c>
      <c r="L42" s="218"/>
      <c r="M42" s="218"/>
      <c r="N42" s="218"/>
      <c r="O42" s="203"/>
      <c r="P42" s="204" t="n">
        <f aca="false">IF(ISTEXT(H42),"",(B42*$B$7/100)+(C42*$C$7/100))</f>
        <v>0.0001</v>
      </c>
      <c r="Q42" s="205" t="n">
        <f aca="false">IF(OR(ISTEXT(H42),P42=0),"",IF(P42&lt;0.1,1,IF(P42&lt;1,2,IF(P42&lt;10,3,IF(P42&lt;50,4,IF(P42&gt;=50,5,""))))))</f>
        <v>1</v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>LYTSAL</v>
      </c>
      <c r="Y42" s="8" t="n">
        <f aca="false">IF(ISERROR(MATCH(A42,'[1]liste reference'!$A$7:$A$906,0)),IF(ISERROR(MATCH(A42,'[1]liste reference'!$B$7:$B$906,0)),"",(MATCH(A42,'[1]liste reference'!$B$7:$B$906,0))),(MATCH(A42,'[1]liste reference'!$A$7:$A$906,0)))</f>
        <v>611</v>
      </c>
      <c r="Z42" s="208"/>
      <c r="AA42" s="209"/>
      <c r="BB42" s="8" t="n">
        <f aca="false">IF(A42="","",1)</f>
        <v>1</v>
      </c>
    </row>
    <row r="43" customFormat="false" ht="12.75" hidden="false" customHeight="false" outlineLevel="0" collapsed="false">
      <c r="A43" s="210" t="s">
        <v>94</v>
      </c>
      <c r="B43" s="211" t="n">
        <v>0.0001</v>
      </c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>Phalaris arundinacea</v>
      </c>
      <c r="E43" s="213" t="e">
        <f aca="false">IF(D43="",,VLOOKUP(D43,D$22:D42,1,0))</f>
        <v>#N/A</v>
      </c>
      <c r="F43" s="221" t="n">
        <f aca="false">($B43*$B$7+$C43*$C$7)/100</f>
        <v>0.0001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>PHe</v>
      </c>
      <c r="H43" s="198" t="n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8</v>
      </c>
      <c r="I43" s="216" t="n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>10</v>
      </c>
      <c r="J43" s="200" t="n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>1</v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>Phalaris arundinacea</v>
      </c>
      <c r="L43" s="218"/>
      <c r="M43" s="218"/>
      <c r="N43" s="218"/>
      <c r="O43" s="203"/>
      <c r="P43" s="204" t="n">
        <f aca="false">IF(ISTEXT(H43),"",(B43*$B$7/100)+(C43*$C$7/100))</f>
        <v>0.0001</v>
      </c>
      <c r="Q43" s="205" t="n">
        <f aca="false">IF(OR(ISTEXT(H43),P43=0),"",IF(P43&lt;0.1,1,IF(P43&lt;1,2,IF(P43&lt;10,3,IF(P43&lt;50,4,IF(P43&gt;=50,5,""))))))</f>
        <v>1</v>
      </c>
      <c r="R43" s="205" t="n">
        <f aca="false">IF(ISERROR(Q43*I43),0,Q43*I43)</f>
        <v>10</v>
      </c>
      <c r="S43" s="205" t="n">
        <f aca="false">IF(ISERROR(Q43*I43*J43),0,Q43*I43*J43)</f>
        <v>10</v>
      </c>
      <c r="T43" s="219" t="n">
        <f aca="false">IF(ISERROR(Q43*J43),0,Q43*J43)</f>
        <v>1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>PHAARU</v>
      </c>
      <c r="Y43" s="8" t="n">
        <f aca="false">IF(ISERROR(MATCH(A43,'[1]liste reference'!$A$7:$A$906,0)),IF(ISERROR(MATCH(A43,'[1]liste reference'!$B$7:$B$906,0)),"",(MATCH(A43,'[1]liste reference'!$B$7:$B$906,0))),(MATCH(A43,'[1]liste reference'!$A$7:$A$906,0)))</f>
        <v>640</v>
      </c>
      <c r="Z43" s="208"/>
      <c r="AA43" s="209"/>
      <c r="BB43" s="8" t="n">
        <f aca="false">IF(A43="","",1)</f>
        <v>1</v>
      </c>
    </row>
    <row r="44" customFormat="false" ht="12.75" hidden="false" customHeight="false" outlineLevel="0" collapsed="false">
      <c r="A44" s="210" t="s">
        <v>95</v>
      </c>
      <c r="B44" s="211" t="n">
        <v>0.005</v>
      </c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>Polygonum hydropiper</v>
      </c>
      <c r="E44" s="213" t="e">
        <f aca="false">IF(D44="",,VLOOKUP(D44,D$22:D43,1,0))</f>
        <v>#N/A</v>
      </c>
      <c r="F44" s="221" t="n">
        <f aca="false">($B44*$B$7+$C44*$C$7)/100</f>
        <v>0.005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>PHe</v>
      </c>
      <c r="H44" s="198" t="n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8</v>
      </c>
      <c r="I44" s="216" t="n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>8</v>
      </c>
      <c r="J44" s="200" t="n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>2</v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>Polygonum hydropiper</v>
      </c>
      <c r="L44" s="218"/>
      <c r="M44" s="218"/>
      <c r="N44" s="218"/>
      <c r="O44" s="203" t="s">
        <v>86</v>
      </c>
      <c r="P44" s="204" t="n">
        <f aca="false">IF(ISTEXT(H44),"",(B44*$B$7/100)+(C44*$C$7/100))</f>
        <v>0.005</v>
      </c>
      <c r="Q44" s="205" t="n">
        <f aca="false">IF(OR(ISTEXT(H44),P44=0),"",IF(P44&lt;0.1,1,IF(P44&lt;1,2,IF(P44&lt;10,3,IF(P44&lt;50,4,IF(P44&gt;=50,5,""))))))</f>
        <v>1</v>
      </c>
      <c r="R44" s="205" t="n">
        <f aca="false">IF(ISERROR(Q44*I44),0,Q44*I44)</f>
        <v>8</v>
      </c>
      <c r="S44" s="205" t="n">
        <f aca="false">IF(ISERROR(Q44*I44*J44),0,Q44*I44*J44)</f>
        <v>16</v>
      </c>
      <c r="T44" s="219" t="n">
        <f aca="false">IF(ISERROR(Q44*J44),0,Q44*J44)</f>
        <v>2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>POLHYD</v>
      </c>
      <c r="Y44" s="8" t="n">
        <f aca="false">IF(ISERROR(MATCH(A44,'[1]liste reference'!$A$7:$A$906,0)),IF(ISERROR(MATCH(A44,'[1]liste reference'!$B$7:$B$906,0)),"",(MATCH(A44,'[1]liste reference'!$B$7:$B$906,0))),(MATCH(A44,'[1]liste reference'!$A$7:$A$906,0)))</f>
        <v>643</v>
      </c>
      <c r="Z44" s="208" t="s">
        <v>86</v>
      </c>
      <c r="AA44" s="209"/>
      <c r="BB44" s="8" t="n">
        <f aca="false">IF(A44="","",1)</f>
        <v>1</v>
      </c>
    </row>
    <row r="45" customFormat="false" ht="12.75" hidden="false" customHeight="false" outlineLevel="0" collapsed="false">
      <c r="A45" s="210" t="s">
        <v>96</v>
      </c>
      <c r="B45" s="211" t="n">
        <v>0.0001</v>
      </c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>Veronica anagallis-aquatica</v>
      </c>
      <c r="E45" s="213" t="e">
        <f aca="false">IF(D45="",,VLOOKUP(D45,D$21:D44,1,0))</f>
        <v>#N/A</v>
      </c>
      <c r="F45" s="221" t="n">
        <f aca="false">($B45*$B$7+$C45*$C$7)/100</f>
        <v>0.0001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>PHe</v>
      </c>
      <c r="H45" s="198" t="n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8</v>
      </c>
      <c r="I45" s="216" t="n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>11</v>
      </c>
      <c r="J45" s="200" t="n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>2</v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>Veronica anagallis-aquatica</v>
      </c>
      <c r="L45" s="218"/>
      <c r="M45" s="218"/>
      <c r="N45" s="218"/>
      <c r="O45" s="203"/>
      <c r="P45" s="204" t="n">
        <f aca="false">IF(ISTEXT(H45),"",(B45*$B$7/100)+(C45*$C$7/100))</f>
        <v>0.0001</v>
      </c>
      <c r="Q45" s="205" t="n">
        <f aca="false">IF(OR(ISTEXT(H45),P45=0),"",IF(P45&lt;0.1,1,IF(P45&lt;1,2,IF(P45&lt;10,3,IF(P45&lt;50,4,IF(P45&gt;=50,5,""))))))</f>
        <v>1</v>
      </c>
      <c r="R45" s="205" t="n">
        <f aca="false">IF(ISERROR(Q45*I45),0,Q45*I45)</f>
        <v>11</v>
      </c>
      <c r="S45" s="205" t="n">
        <f aca="false">IF(ISERROR(Q45*I45*J45),0,Q45*I45*J45)</f>
        <v>22</v>
      </c>
      <c r="T45" s="219" t="n">
        <f aca="false">IF(ISERROR(Q45*J45),0,Q45*J45)</f>
        <v>2</v>
      </c>
      <c r="U45" s="206" t="str">
        <f aca="false">IF(AND(A45="",F45=0),"",IF(F45=0,"Il manque le(s) % de rec. !",""))</f>
        <v/>
      </c>
      <c r="V45" s="207"/>
      <c r="W45" s="224"/>
      <c r="X45" s="205" t="str">
        <f aca="false">IF(A45="new.cod","NEW.COD",IF(AND((Y45=""),ISTEXT(A45)),A45,IF(Y45="","",INDEX('[1]liste reference'!$A$7:$A$906,Y45))))</f>
        <v>VERANA</v>
      </c>
      <c r="Y45" s="8" t="n">
        <f aca="false">IF(ISERROR(MATCH(A45,'[1]liste reference'!$A$7:$A$906,0)),IF(ISERROR(MATCH(A45,'[1]liste reference'!$B$7:$B$906,0)),"",(MATCH(A45,'[1]liste reference'!$B$7:$B$906,0))),(MATCH(A45,'[1]liste reference'!$A$7:$A$906,0)))</f>
        <v>689</v>
      </c>
      <c r="Z45" s="208"/>
      <c r="AA45" s="209"/>
      <c r="BB45" s="8" t="n">
        <f aca="false">IF(A45="","",1)</f>
        <v>1</v>
      </c>
    </row>
    <row r="46" customFormat="false" ht="12.75" hidden="false" customHeight="false" outlineLevel="0" collapsed="false">
      <c r="A46" s="210" t="s">
        <v>97</v>
      </c>
      <c r="B46" s="211" t="n">
        <v>0.002</v>
      </c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>Bidens sp.        </v>
      </c>
      <c r="E46" s="213" t="e">
        <f aca="false">IF(D46="",,VLOOKUP(D46,D$22:D45,1,0))</f>
        <v>#N/A</v>
      </c>
      <c r="F46" s="221" t="n">
        <f aca="false">($B46*$B$7+$C46*$C$7)/100</f>
        <v>0.002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>PHg</v>
      </c>
      <c r="H46" s="198" t="n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9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>Bidens sp.        </v>
      </c>
      <c r="L46" s="218"/>
      <c r="M46" s="218"/>
      <c r="N46" s="218"/>
      <c r="O46" s="203" t="s">
        <v>86</v>
      </c>
      <c r="P46" s="204" t="n">
        <f aca="false">IF(ISTEXT(H46),"",(B46*$B$7/100)+(C46*$C$7/100))</f>
        <v>0.002</v>
      </c>
      <c r="Q46" s="205" t="n">
        <f aca="false">IF(OR(ISTEXT(H46),P46=0),"",IF(P46&lt;0.1,1,IF(P46&lt;1,2,IF(P46&lt;10,3,IF(P46&lt;50,4,IF(P46&gt;=50,5,""))))))</f>
        <v>1</v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>BIDSPX</v>
      </c>
      <c r="Y46" s="8" t="n">
        <f aca="false">IF(ISERROR(MATCH(A46,'[1]liste reference'!$A$7:$A$906,0)),IF(ISERROR(MATCH(A46,'[1]liste reference'!$B$7:$B$906,0)),"",(MATCH(A46,'[1]liste reference'!$B$7:$B$906,0))),(MATCH(A46,'[1]liste reference'!$A$7:$A$906,0)))</f>
        <v>710</v>
      </c>
      <c r="Z46" s="208" t="s">
        <v>86</v>
      </c>
      <c r="AA46" s="209" t="s">
        <v>98</v>
      </c>
      <c r="BB46" s="8" t="n">
        <f aca="false">IF(A46="","",1)</f>
        <v>1</v>
      </c>
    </row>
    <row r="47" customFormat="false" ht="12.75" hidden="false" customHeight="false" outlineLevel="0" collapsed="false">
      <c r="A47" s="210" t="s">
        <v>99</v>
      </c>
      <c r="B47" s="211" t="n">
        <v>0.0001</v>
      </c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>Myosoton aquaticum</v>
      </c>
      <c r="E47" s="213" t="e">
        <f aca="false">IF(D47="",,VLOOKUP(D47,D$22:D46,1,0))</f>
        <v>#N/A</v>
      </c>
      <c r="F47" s="221" t="n">
        <f aca="false">($B47*$B$7+$C47*$C$7)/100</f>
        <v>0.0001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>PHg</v>
      </c>
      <c r="H47" s="198" t="n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9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>Myosoton aquaticum</v>
      </c>
      <c r="L47" s="218"/>
      <c r="M47" s="218"/>
      <c r="N47" s="218"/>
      <c r="O47" s="203"/>
      <c r="P47" s="204" t="n">
        <f aca="false">IF(ISTEXT(H47),"",(B47*$B$7/100)+(C47*$C$7/100))</f>
        <v>0.0001</v>
      </c>
      <c r="Q47" s="205" t="n">
        <f aca="false">IF(OR(ISTEXT(H47),P47=0),"",IF(P47&lt;0.1,1,IF(P47&lt;1,2,IF(P47&lt;10,3,IF(P47&lt;50,4,IF(P47&gt;=50,5,""))))))</f>
        <v>1</v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>MYSAQU</v>
      </c>
      <c r="Y47" s="8" t="n">
        <f aca="false">IF(ISERROR(MATCH(A47,'[1]liste reference'!$A$7:$A$906,0)),IF(ISERROR(MATCH(A47,'[1]liste reference'!$B$7:$B$906,0)),"",(MATCH(A47,'[1]liste reference'!$B$7:$B$906,0))),(MATCH(A47,'[1]liste reference'!$A$7:$A$906,0)))</f>
        <v>789</v>
      </c>
      <c r="Z47" s="208"/>
      <c r="AA47" s="209"/>
      <c r="BB47" s="8" t="n">
        <f aca="false">IF(A47="","",1)</f>
        <v>1</v>
      </c>
    </row>
    <row r="48" customFormat="false" ht="12.75" hidden="false" customHeight="false" outlineLevel="0" collapsed="false">
      <c r="A48" s="210" t="s">
        <v>100</v>
      </c>
      <c r="B48" s="211" t="n">
        <v>0.001</v>
      </c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>Polygonum lapathifolia</v>
      </c>
      <c r="E48" s="213" t="e">
        <f aca="false">IF(D48="",,VLOOKUP(D48,D$22:D47,1,0))</f>
        <v>#N/A</v>
      </c>
      <c r="F48" s="221" t="n">
        <f aca="false">($B48*$B$7+$C48*$C$7)/100</f>
        <v>0.001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>PHg</v>
      </c>
      <c r="H48" s="198" t="n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9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>Polygonum lapathifolia</v>
      </c>
      <c r="L48" s="218"/>
      <c r="M48" s="218"/>
      <c r="N48" s="218"/>
      <c r="O48" s="203"/>
      <c r="P48" s="204" t="n">
        <f aca="false">IF(ISTEXT(H48),"",(B48*$B$7/100)+(C48*$C$7/100))</f>
        <v>0.001</v>
      </c>
      <c r="Q48" s="205" t="n">
        <f aca="false">IF(OR(ISTEXT(H48),P48=0),"",IF(P48&lt;0.1,1,IF(P48&lt;1,2,IF(P48&lt;10,3,IF(P48&lt;50,4,IF(P48&gt;=50,5,""))))))</f>
        <v>1</v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>POLLAP</v>
      </c>
      <c r="Y48" s="8" t="n">
        <f aca="false">IF(ISERROR(MATCH(A48,'[1]liste reference'!$A$7:$A$906,0)),IF(ISERROR(MATCH(A48,'[1]liste reference'!$B$7:$B$906,0)),"",(MATCH(A48,'[1]liste reference'!$B$7:$B$906,0))),(MATCH(A48,'[1]liste reference'!$A$7:$A$906,0)))</f>
        <v>803</v>
      </c>
      <c r="Z48" s="208"/>
      <c r="AA48" s="209"/>
      <c r="BB48" s="8" t="n">
        <f aca="false">IF(A48="","",1)</f>
        <v>1</v>
      </c>
    </row>
    <row r="49" customFormat="false" ht="12.75" hidden="false" customHeight="false" outlineLevel="0" collapsed="false">
      <c r="A49" s="210" t="s">
        <v>101</v>
      </c>
      <c r="B49" s="211" t="n">
        <v>0.003</v>
      </c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>Polygonum sp.</v>
      </c>
      <c r="E49" s="213" t="e">
        <f aca="false">IF(D49="",,VLOOKUP(D49,D$22:D48,1,0))</f>
        <v>#N/A</v>
      </c>
      <c r="F49" s="221" t="n">
        <f aca="false">($B49*$B$7+$C49*$C$7)/100</f>
        <v>0.003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>PHg</v>
      </c>
      <c r="H49" s="198" t="n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9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>Polygonum sp.</v>
      </c>
      <c r="L49" s="218"/>
      <c r="M49" s="218"/>
      <c r="N49" s="218"/>
      <c r="O49" s="203"/>
      <c r="P49" s="204" t="n">
        <f aca="false">IF(ISTEXT(H49),"",(B49*$B$7/100)+(C49*$C$7/100))</f>
        <v>0.003</v>
      </c>
      <c r="Q49" s="205" t="n">
        <f aca="false">IF(OR(ISTEXT(H49),P49=0),"",IF(P49&lt;0.1,1,IF(P49&lt;1,2,IF(P49&lt;10,3,IF(P49&lt;50,4,IF(P49&gt;=50,5,""))))))</f>
        <v>1</v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>POLSPX</v>
      </c>
      <c r="Y49" s="8" t="n">
        <f aca="false">IF(ISERROR(MATCH(A49,'[1]liste reference'!$A$7:$A$906,0)),IF(ISERROR(MATCH(A49,'[1]liste reference'!$B$7:$B$906,0)),"",(MATCH(A49,'[1]liste reference'!$B$7:$B$906,0))),(MATCH(A49,'[1]liste reference'!$A$7:$A$906,0)))</f>
        <v>806</v>
      </c>
      <c r="Z49" s="208"/>
      <c r="AA49" s="209" t="s">
        <v>102</v>
      </c>
      <c r="BB49" s="8" t="n">
        <f aca="false">IF(A49="","",1)</f>
        <v>1</v>
      </c>
    </row>
    <row r="50" customFormat="false" ht="12.75" hidden="false" customHeight="false" outlineLevel="0" collapsed="false">
      <c r="A50" s="210" t="s">
        <v>103</v>
      </c>
      <c r="B50" s="211" t="n">
        <v>0.0001</v>
      </c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>Pulicaria dysenterica</v>
      </c>
      <c r="E50" s="213" t="e">
        <f aca="false">IF(D50="",,VLOOKUP(D50,D$22:D49,1,0))</f>
        <v>#N/A</v>
      </c>
      <c r="F50" s="221" t="n">
        <f aca="false">($B50*$B$7+$C50*$C$7)/100</f>
        <v>0.0001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>PHg</v>
      </c>
      <c r="H50" s="198" t="n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9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>Pulicaria dysenterica</v>
      </c>
      <c r="L50" s="222"/>
      <c r="M50" s="222"/>
      <c r="N50" s="222"/>
      <c r="O50" s="223" t="s">
        <v>86</v>
      </c>
      <c r="P50" s="204" t="n">
        <f aca="false">IF(ISTEXT(H50),"",(B50*$B$7/100)+(C50*$C$7/100))</f>
        <v>0.0001</v>
      </c>
      <c r="Q50" s="205" t="n">
        <f aca="false">IF(OR(ISTEXT(H50),P50=0),"",IF(P50&lt;0.1,1,IF(P50&lt;1,2,IF(P50&lt;10,3,IF(P50&lt;50,4,IF(P50&gt;=50,5,""))))))</f>
        <v>1</v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>PULDYS</v>
      </c>
      <c r="Y50" s="8" t="n">
        <f aca="false">IF(ISERROR(MATCH(A50,'[1]liste reference'!$A$7:$A$906,0)),IF(ISERROR(MATCH(A50,'[1]liste reference'!$B$7:$B$906,0)),"",(MATCH(A50,'[1]liste reference'!$B$7:$B$906,0))),(MATCH(A50,'[1]liste reference'!$A$7:$A$906,0)))</f>
        <v>809</v>
      </c>
      <c r="Z50" s="208" t="s">
        <v>86</v>
      </c>
      <c r="AA50" s="209" t="s">
        <v>104</v>
      </c>
      <c r="BB50" s="8" t="n">
        <f aca="false">IF(A50="","",1)</f>
        <v>1</v>
      </c>
    </row>
    <row r="51" customFormat="false" ht="12.75" hidden="false" customHeight="false" outlineLevel="0" collapsed="false">
      <c r="A51" s="210" t="s">
        <v>105</v>
      </c>
      <c r="B51" s="211" t="n">
        <v>0.0001</v>
      </c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1" t="n">
        <f aca="false">($B51*$B$7+$C51*$C$7)/100</f>
        <v>0.0001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>    -</v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">
        <v>106</v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>NEWCOD</v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 t="s">
        <v>106</v>
      </c>
      <c r="BB51" s="8" t="n">
        <f aca="false">IF(A51="","",1)</f>
        <v>1</v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1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1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1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1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1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1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1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1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IF(D60="",,VLOOKUP(D60,D$22:D53,1,0))</f>
        <v>0</v>
      </c>
      <c r="F60" s="221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IF(D61="",,VLOOKUP(D61,D$22:D53,1,0))</f>
        <v>0</v>
      </c>
      <c r="F61" s="221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1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IF(D63="",,VLOOKUP(D63,D$22:D62,1,0))</f>
        <v>0</v>
      </c>
      <c r="F63" s="221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1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1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1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1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1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1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1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1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1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1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1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1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1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1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1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1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1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1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2"/>
      <c r="M81" s="222"/>
      <c r="N81" s="222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107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Allier</v>
      </c>
      <c r="B84" s="244" t="str">
        <f aca="false">C3</f>
        <v>Allier à Chatel de Neuvre</v>
      </c>
      <c r="C84" s="245" t="n">
        <f aca="false">A4</f>
        <v>40745</v>
      </c>
      <c r="D84" s="246" t="n">
        <f aca="false">IF(ISERROR(SUM($S$23:$S$82)/SUM($T$23:$T$82)),"",SUM($S$23:$S$82)/SUM($T$23:$T$82))</f>
        <v>8</v>
      </c>
      <c r="E84" s="247" t="n">
        <f aca="false">N13</f>
        <v>29</v>
      </c>
      <c r="F84" s="244" t="n">
        <f aca="false">N14</f>
        <v>20</v>
      </c>
      <c r="G84" s="244" t="n">
        <f aca="false">N15</f>
        <v>9</v>
      </c>
      <c r="H84" s="244" t="n">
        <f aca="false">N16</f>
        <v>10</v>
      </c>
      <c r="I84" s="244" t="n">
        <f aca="false">N17</f>
        <v>1</v>
      </c>
      <c r="J84" s="248" t="n">
        <f aca="false">N8</f>
        <v>8.4</v>
      </c>
      <c r="K84" s="246" t="n">
        <f aca="false">N9</f>
        <v>2.47938871923154</v>
      </c>
      <c r="L84" s="247" t="n">
        <f aca="false">N10</f>
        <v>4</v>
      </c>
      <c r="M84" s="247" t="n">
        <f aca="false">N11</f>
        <v>12</v>
      </c>
      <c r="N84" s="246" t="n">
        <f aca="false">O8</f>
        <v>1.6</v>
      </c>
      <c r="O84" s="246" t="n">
        <f aca="false">O9</f>
        <v>0.598243041616119</v>
      </c>
      <c r="P84" s="247" t="n">
        <f aca="false">O10</f>
        <v>1</v>
      </c>
      <c r="Q84" s="247" t="n">
        <f aca="false">O11</f>
        <v>3</v>
      </c>
      <c r="R84" s="249" t="n">
        <f aca="false">F21</f>
        <v>17.2093</v>
      </c>
      <c r="S84" s="247" t="n">
        <f aca="false">K11</f>
        <v>0</v>
      </c>
      <c r="T84" s="247" t="n">
        <f aca="false">K12</f>
        <v>7</v>
      </c>
      <c r="U84" s="247" t="n">
        <f aca="false">K13</f>
        <v>0</v>
      </c>
      <c r="V84" s="250" t="n">
        <f aca="false">K14</f>
        <v>0</v>
      </c>
      <c r="W84" s="251" t="n">
        <f aca="false">K15</f>
        <v>21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108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109</v>
      </c>
      <c r="Q87" s="8"/>
      <c r="R87" s="206" t="n">
        <f aca="false">VLOOKUP(MAX($R$23:$R$82),($R$23:$T$82),1,0)</f>
        <v>20</v>
      </c>
      <c r="S87" s="8"/>
      <c r="T87" s="8"/>
      <c r="U87" s="8"/>
    </row>
    <row r="88" customFormat="false" ht="12.75" hidden="true" customHeight="false" outlineLevel="0" collapsed="false">
      <c r="P88" s="8" t="s">
        <v>110</v>
      </c>
      <c r="Q88" s="8"/>
      <c r="R88" s="206" t="n">
        <f aca="false">VLOOKUP((R87),($R$23:$T$82),2,0)</f>
        <v>20</v>
      </c>
      <c r="S88" s="8"/>
      <c r="T88" s="8"/>
      <c r="U88" s="8"/>
    </row>
    <row r="89" customFormat="false" ht="12.75" hidden="true" customHeight="false" outlineLevel="0" collapsed="false">
      <c r="P89" s="8" t="s">
        <v>111</v>
      </c>
      <c r="Q89" s="8"/>
      <c r="R89" s="206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112</v>
      </c>
      <c r="Q90" s="8"/>
      <c r="R90" s="253" t="n">
        <f aca="false">IF(ISERROR(SUM($S$23:$S$82)/SUM($T$23:$T$82)),"",(SUM($S$23:$S$82)-R88)/(SUM($T$23:$T$82)-R89))</f>
        <v>7.88571428571429</v>
      </c>
      <c r="S90" s="8"/>
    </row>
    <row r="91" customFormat="false" ht="12.75" hidden="true" customHeight="false" outlineLevel="0" collapsed="false">
      <c r="P91" s="205" t="s">
        <v>113</v>
      </c>
      <c r="Q91" s="205"/>
      <c r="R91" s="205" t="str">
        <f aca="false">INDEX('[1]liste reference'!$A$7:$A$906,$S$91)</f>
        <v>MELSPX</v>
      </c>
      <c r="S91" s="8" t="n">
        <f aca="false">IF(ISERROR(MATCH($R$93,'[1]liste reference'!$A$7:$A$906,0)),MATCH($R$93,'[1]liste reference'!$B$7:$B$906,0),(MATCH($R$93,'[1]liste reference'!$A$7:$A$906,0)))</f>
        <v>37</v>
      </c>
      <c r="T91" s="242"/>
    </row>
    <row r="92" customFormat="false" ht="12.75" hidden="true" customHeight="false" outlineLevel="0" collapsed="false">
      <c r="P92" s="8" t="s">
        <v>114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115</v>
      </c>
      <c r="Q93" s="8"/>
      <c r="R93" s="205" t="str">
        <f aca="false">INDEX($A$23:$A$82,$R$92)</f>
        <v>MELSPX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2024-03-14T19:17:02Z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