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33002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'04433002'!$A$1:$O$82</definedName>
    <definedName function="false" hidden="false" localSheetId="0" name="Excel_BuiltIn__FilterDatabase" vbProcedure="false">'04433002'!$A$23:$J$84</definedName>
    <definedName function="false" hidden="false" localSheetId="0" name="NOM" vbProcedure="false">'04433002'!$H$1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<sst xmlns="http://schemas.openxmlformats.org/spreadsheetml/2006/main" count="114" uniqueCount="108">
  <si>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</si>
  <si>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</si>
  <si>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</si>
  <si>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Rémy MARCEL</t>
  </si>
  <si>
    <t xml:space="preserve">conforme AFNOR T90-395 oct. 2003</t>
  </si>
  <si>
    <t xml:space="preserve">la Sioule</t>
  </si>
  <si>
    <t xml:space="preserve">R SIOULE A CHOUVIGNY</t>
  </si>
  <si>
    <t xml:space="preserve">04433002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</si>
  <si>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</si>
  <si>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</si>
  <si>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</si>
  <si>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</si>
  <si>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</si>
  <si>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</si>
  <si>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</si>
  <si>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</si>
  <si>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</si>
  <si>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</si>
  <si>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radier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</si>
  <si>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</si>
  <si>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</si>
  <si>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</si>
  <si>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</si>
  <si>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</si>
  <si>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</si>
  <si>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</si>
  <si>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</si>
  <si>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</si>
  <si>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</si>
  <si>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</si>
  <si>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</si>
  <si>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</si>
  <si>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</si>
  <si>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</si>
  <si>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</si>
  <si>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</si>
  <si>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</si>
  <si>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</si>
  <si>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</si>
  <si>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</si>
  <si>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</si>
  <si>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</si>
  <si>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</si>
  <si>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</si>
  <si>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</si>
  <si>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</si>
  <si>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</si>
  <si>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</si>
  <si>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</si>
  <si>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</si>
  <si>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</si>
  <si>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</si>
  <si>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</si>
  <si>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</si>
  <si>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</si>
  <si>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</si>
  <si>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</si>
  <si>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</si>
  <si>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(5,55160696431994 %)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</si>
  <si>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</si>
  <si>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</si>
  <si>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</si>
  <si>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</si>
  <si>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</si>
  <si>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</si>
  <si>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</si>
  <si>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</si>
  <si>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</si>
  <si>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</si>
  <si>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</si>
  <si>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</si>
  <si>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</si>
  <si>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</si>
  <si>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</si>
  <si>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</si>
  <si>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</si>
  <si>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</si>
  <si>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</si>
  <si>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CINFON</t>
  </si>
  <si>
    <t xml:space="preserve">newcod</t>
  </si>
  <si>
    <t xml:space="preserve">Coconeis sp.</t>
  </si>
  <si>
    <t xml:space="preserve">PHAARU</t>
  </si>
  <si>
    <t xml:space="preserve">BRARIV</t>
  </si>
  <si>
    <t xml:space="preserve">OCTFON</t>
  </si>
  <si>
    <t xml:space="preserve">EQUPAL</t>
  </si>
  <si>
    <t xml:space="preserve">RANPEE</t>
  </si>
  <si>
    <t xml:space="preserve">SPISPX</t>
  </si>
  <si>
    <t xml:space="preserve">FISCRA</t>
  </si>
  <si>
    <t xml:space="preserve">PHOSPX</t>
  </si>
  <si>
    <t xml:space="preserve">Cf.</t>
  </si>
  <si>
    <t xml:space="preserve">Leptolyngbya sp.</t>
  </si>
  <si>
    <t xml:space="preserve">CHIPOL</t>
  </si>
  <si>
    <t xml:space="preserve">PELSPX</t>
  </si>
  <si>
    <t xml:space="preserve">FONANT</t>
  </si>
  <si>
    <t xml:space="preserve">RHYRIP</t>
  </si>
  <si>
    <t xml:space="preserve">AMBRIP</t>
  </si>
  <si>
    <t xml:space="preserve">AUDSPX</t>
  </si>
  <si>
    <t xml:space="preserve">Paralemanea sp.</t>
  </si>
  <si>
    <t xml:space="preserve">CLASPX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</si>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</sst>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9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41850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10.8857142857143</v>
      </c>
      <c r="M5" s="52"/>
      <c r="N5" s="53" t="s">
        <v>16</v>
      </c>
      <c r="O5" s="54" t="n">
        <v>10.3548387096774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/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100</v>
      </c>
      <c r="C7" s="66"/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6" t="s">
        <v>24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25</v>
      </c>
      <c r="B8" s="78"/>
      <c r="C8" s="78"/>
      <c r="D8" s="67"/>
      <c r="E8" s="67"/>
      <c r="F8" s="79" t="s">
        <v>26</v>
      </c>
      <c r="G8" s="80"/>
      <c r="H8" s="81"/>
      <c r="I8" s="70"/>
      <c r="J8" s="71"/>
      <c r="K8" s="72"/>
      <c r="L8" s="73"/>
      <c r="M8" s="82" t="s">
        <v>27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5" t="n">
        <v>5.5</v>
      </c>
      <c r="C9" s="86"/>
      <c r="D9" s="87"/>
      <c r="E9" s="87"/>
      <c r="F9" s="88" t="n">
        <f aca="false">($B9*$B$7+$C9*$C$7)/100</f>
        <v>5.5</v>
      </c>
      <c r="G9" s="89"/>
      <c r="H9" s="90"/>
      <c r="I9" s="91"/>
      <c r="J9" s="92"/>
      <c r="K9" s="72"/>
      <c r="L9" s="93"/>
      <c r="M9" s="82" t="s">
        <v>29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30</v>
      </c>
      <c r="B10" s="97"/>
      <c r="C10" s="98"/>
      <c r="D10" s="99"/>
      <c r="E10" s="99"/>
      <c r="F10" s="88"/>
      <c r="G10" s="89"/>
      <c r="H10" s="100"/>
      <c r="I10" s="101"/>
      <c r="J10" s="102" t="s">
        <v>31</v>
      </c>
      <c r="K10" s="102"/>
      <c r="L10" s="103"/>
      <c r="M10" s="104" t="s">
        <v>32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33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34</v>
      </c>
      <c r="J11" s="113"/>
      <c r="K11" s="114" t="n">
        <f aca="false">COUNTIF($G$23:$G$82,"=HET")</f>
        <v>0</v>
      </c>
      <c r="L11" s="115"/>
      <c r="M11" s="104" t="s">
        <v>35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36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37</v>
      </c>
      <c r="J12" s="120"/>
      <c r="K12" s="114" t="n">
        <f aca="false">COUNTIF($G$23:$G$82,"=ALG")</f>
        <v>0</v>
      </c>
      <c r="L12" s="121"/>
      <c r="M12" s="122"/>
      <c r="N12" s="123" t="s">
        <v>31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38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39</v>
      </c>
      <c r="J13" s="120"/>
      <c r="K13" s="114" t="n">
        <f aca="false">COUNTIF($G$23:$G$82,"=BRm")+COUNTIF($G$23:$G$82,"=BRh")</f>
        <v>0</v>
      </c>
      <c r="L13" s="115"/>
      <c r="M13" s="126" t="s">
        <v>40</v>
      </c>
      <c r="N13" s="127" t="n">
        <f aca="false">COUNTIF(F23:F82,"&gt;0")</f>
        <v>20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41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42</v>
      </c>
      <c r="J14" s="120"/>
      <c r="K14" s="114" t="n">
        <f aca="false">COUNTIF($G$23:$G$82,"=PTE")+COUNTIF($G$23:$G$82,"=LIC")</f>
        <v>0</v>
      </c>
      <c r="L14" s="115"/>
      <c r="M14" s="130" t="s">
        <v>43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44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45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46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47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48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49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50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51</v>
      </c>
      <c r="B18" s="144"/>
      <c r="C18" s="145"/>
      <c r="D18" s="110"/>
      <c r="E18" s="146" t="s">
        <v>52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53</v>
      </c>
      <c r="B20" s="164" t="n">
        <f aca="false">SUM(B23:B82)</f>
        <v>5.55160696431994</v>
      </c>
      <c r="C20" s="165" t="n">
        <f aca="false">SUM(C23:C82)</f>
        <v>0</v>
      </c>
      <c r="D20" s="166"/>
      <c r="E20" s="167" t="s">
        <v>52</v>
      </c>
      <c r="F20" s="168" t="n">
        <f aca="false">($B20*$B$7+$C20*$C$7)/100</f>
        <v>5.55160696431994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54</v>
      </c>
      <c r="R20" s="9"/>
      <c r="S20" s="9"/>
      <c r="T20" s="9"/>
      <c r="U20" s="9"/>
      <c r="V20" s="9"/>
      <c r="W20" s="149" t="s">
        <v>55</v>
      </c>
    </row>
    <row r="21" customFormat="false" ht="12.75" hidden="false" customHeight="false" outlineLevel="0" collapsed="false">
      <c r="A21" s="177" t="s">
        <v>56</v>
      </c>
      <c r="B21" s="178" t="n">
        <f aca="false">B20*B7/100</f>
        <v>5.55160696431994</v>
      </c>
      <c r="C21" s="178" t="n">
        <f aca="false">C20*C7/100</f>
        <v>0</v>
      </c>
      <c r="D21" s="110" t="str">
        <f aca="false">IF(F21=0,"",IF((ABS(F21-F19))&gt;(0.2*F21),CONCATENATE(" rec. par taxa (",F21," %) supérieur à 20 % !"),""))</f>
        <v> rec. par taxa (5,55160696431994 %)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5.55160696431994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57</v>
      </c>
      <c r="R21" s="9"/>
      <c r="S21" s="9"/>
      <c r="T21" s="9"/>
      <c r="U21" s="9"/>
      <c r="V21" s="9"/>
      <c r="W21" s="149" t="s">
        <v>58</v>
      </c>
    </row>
    <row r="22" customFormat="false" ht="12.75" hidden="false" customHeight="false" outlineLevel="0" collapsed="false">
      <c r="A22" s="188" t="s">
        <v>59</v>
      </c>
      <c r="B22" s="189" t="s">
        <v>60</v>
      </c>
      <c r="C22" s="190" t="s">
        <v>60</v>
      </c>
      <c r="D22" s="139"/>
      <c r="E22" s="139"/>
      <c r="F22" s="191" t="s">
        <v>61</v>
      </c>
      <c r="G22" s="192" t="s">
        <v>62</v>
      </c>
      <c r="H22" s="139"/>
      <c r="I22" s="193" t="s">
        <v>63</v>
      </c>
      <c r="J22" s="193" t="s">
        <v>64</v>
      </c>
      <c r="K22" s="194" t="s">
        <v>65</v>
      </c>
      <c r="L22" s="194"/>
      <c r="M22" s="194"/>
      <c r="N22" s="194"/>
      <c r="O22" s="194"/>
      <c r="P22" s="195" t="s">
        <v>66</v>
      </c>
      <c r="Q22" s="196" t="s">
        <v>67</v>
      </c>
      <c r="R22" s="197" t="s">
        <v>68</v>
      </c>
      <c r="S22" s="198" t="s">
        <v>69</v>
      </c>
      <c r="T22" s="199" t="s">
        <v>70</v>
      </c>
      <c r="U22" s="200" t="s">
        <v>71</v>
      </c>
      <c r="V22" s="198" t="s">
        <v>72</v>
      </c>
      <c r="Y22" s="9" t="s">
        <v>73</v>
      </c>
      <c r="Z22" s="9" t="s">
        <v>74</v>
      </c>
      <c r="AA22" s="201" t="s">
        <v>75</v>
      </c>
      <c r="AB22" s="201" t="s">
        <v>76</v>
      </c>
      <c r="AC22" s="201" t="s">
        <v>77</v>
      </c>
    </row>
    <row r="23" customFormat="false" ht="12.75" hidden="false" customHeight="false" outlineLevel="0" collapsed="false">
      <c r="A23" s="202" t="s">
        <v>78</v>
      </c>
      <c r="B23" s="203" t="n">
        <v>0.00999999977648258</v>
      </c>
      <c r="C23" s="204" t="n">
        <v>0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0.00999999977648258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CINFON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0.00999999977648258</v>
      </c>
      <c r="C24" s="222" t="n">
        <v>0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0.00999999977648258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>No</v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newcod</v>
      </c>
      <c r="Z24" s="9" t="str">
        <f aca="false">IF(ISERROR(MATCH(A24,,0)),IF(ISERROR(MATCH(A24,,0)),"",(MATCH(A24,,0))),(MATCH(A24,,0)))</f>
        <v/>
      </c>
      <c r="AA24" s="218"/>
      <c r="AB24" s="220" t="s">
        <v>80</v>
      </c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0.00999999977648258</v>
      </c>
      <c r="C25" s="222" t="n">
        <v>0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0.00999999977648258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PHAARU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0.00999999977648258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BRARIV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0.00999999977648258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OCTFON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0.00999999977648258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0.00999999977648258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EQUPAL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0.00999999977648258</v>
      </c>
      <c r="C29" s="222" t="n">
        <v>0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0.00999999977648258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RANPEE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0.00999999977648258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0.00999999977648258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SPISPX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0.00999999977648258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0.00999999977648258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FISCRA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88</v>
      </c>
      <c r="B32" s="221" t="n">
        <v>0.00999999977648258</v>
      </c>
      <c r="C32" s="222" t="n">
        <v>0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0.00999999977648258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PHOSPX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79</v>
      </c>
      <c r="B33" s="221" t="n">
        <v>0.00999999977648258</v>
      </c>
      <c r="C33" s="222" t="n">
        <v>0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0.00999999977648258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>No</v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newcod</v>
      </c>
      <c r="Z33" s="9" t="str">
        <f aca="false">IF(ISERROR(MATCH(A33,,0)),IF(ISERROR(MATCH(A33,,0)),"",(MATCH(A33,,0))),(MATCH(A33,,0)))</f>
        <v/>
      </c>
      <c r="AA33" s="218" t="s">
        <v>89</v>
      </c>
      <c r="AB33" s="220" t="s">
        <v>90</v>
      </c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91</v>
      </c>
      <c r="B34" s="221" t="n">
        <v>0.00999999977648258</v>
      </c>
      <c r="C34" s="222" t="n">
        <v>0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0.00999999977648258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CHIPOL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92</v>
      </c>
      <c r="B35" s="221" t="n">
        <v>0.00999999977648258</v>
      </c>
      <c r="C35" s="222" t="n">
        <v>0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0.00999999977648258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PELSPX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93</v>
      </c>
      <c r="B36" s="221" t="n">
        <v>0.00999999977648258</v>
      </c>
      <c r="C36" s="222" t="n">
        <v>0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0.00999999977648258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FONANT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94</v>
      </c>
      <c r="B37" s="221" t="n">
        <v>0.100000001490116</v>
      </c>
      <c r="C37" s="222" t="n">
        <v>0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0.100000001490116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RHYRIP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95</v>
      </c>
      <c r="B38" s="221" t="n">
        <v>0.102857001125813</v>
      </c>
      <c r="C38" s="222" t="n">
        <v>0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0.102857001125813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AMBRIP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16</v>
      </c>
      <c r="B39" s="221" t="n">
        <v>0.200000002980232</v>
      </c>
      <c r="C39" s="222" t="n">
        <v>0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0.200000002980232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HILSPX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 t="s">
        <v>96</v>
      </c>
      <c r="B40" s="221" t="n">
        <v>0.75</v>
      </c>
      <c r="C40" s="222" t="n">
        <v>0</v>
      </c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0.75</v>
      </c>
      <c r="G40" s="208" t="str">
        <f aca="false">IF(A40="","",IF(ISERROR(VLOOKUP($A40,,13,0)),IF(ISERROR(VLOOKUP($A40,,12,0)),"    -",VLOOKUP($A40,,12,0)),VLOOKUP($A40,,13,0)))</f>
        <v>    -</v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>AUDSPX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n">
        <f aca="false">IF(A40="","",1)</f>
        <v>1</v>
      </c>
    </row>
    <row r="41" customFormat="false" ht="12.75" hidden="false" customHeight="false" outlineLevel="0" collapsed="false">
      <c r="A41" s="220" t="s">
        <v>79</v>
      </c>
      <c r="B41" s="221" t="n">
        <v>1.25</v>
      </c>
      <c r="C41" s="222" t="n">
        <v>0</v>
      </c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1.25</v>
      </c>
      <c r="G41" s="208" t="str">
        <f aca="false">IF(A41="","",IF(ISERROR(VLOOKUP($A41,,13,0)),IF(ISERROR(VLOOKUP($A41,,12,0)),"    -",VLOOKUP($A41,,12,0)),VLOOKUP($A41,,13,0)))</f>
        <v>    -</v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>No</v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>newcod</v>
      </c>
      <c r="Z41" s="9" t="str">
        <f aca="false">IF(ISERROR(MATCH(A41,,0)),IF(ISERROR(MATCH(A41,,0)),"",(MATCH(A41,,0))),(MATCH(A41,,0)))</f>
        <v/>
      </c>
      <c r="AA41" s="218"/>
      <c r="AB41" s="220" t="s">
        <v>97</v>
      </c>
      <c r="AC41" s="219"/>
      <c r="BB41" s="9" t="n">
        <f aca="false">IF(A41="","",1)</f>
        <v>1</v>
      </c>
    </row>
    <row r="42" customFormat="false" ht="12.75" hidden="false" customHeight="false" outlineLevel="0" collapsed="false">
      <c r="A42" s="220" t="s">
        <v>98</v>
      </c>
      <c r="B42" s="221" t="n">
        <v>3.00874996185303</v>
      </c>
      <c r="C42" s="222" t="n">
        <v>0</v>
      </c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3.00874996185303</v>
      </c>
      <c r="G42" s="208" t="str">
        <f aca="false">IF(A42="","",IF(ISERROR(VLOOKUP($A42,,13,0)),IF(ISERROR(VLOOKUP($A42,,12,0)),"    -",VLOOKUP($A42,,12,0)),VLOOKUP($A42,,13,0)))</f>
        <v>    -</v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>code non répertorié ou synonyme</v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>CLASPX</v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n">
        <f aca="false">IF(A42="","",1)</f>
        <v>1</v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99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Sioule</v>
      </c>
      <c r="B84" s="256" t="str">
        <f aca="false">C3</f>
        <v>R SIOULE A CHOUVIGNY</v>
      </c>
      <c r="C84" s="257" t="n">
        <f aca="false">A4</f>
        <v>41850</v>
      </c>
      <c r="D84" s="258" t="str">
        <f aca="false">IF(ISERROR(SUM($T$23:$T$82)/SUM($U$23:$U$82)),"",SUM($T$23:$T$82)/SUM($U$23:$U$82))</f>
        <v/>
      </c>
      <c r="E84" s="259" t="n">
        <f aca="false">N13</f>
        <v>20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5.55160696431994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100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101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102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103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104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105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106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107</v>
      </c>
      <c r="R93" s="9"/>
      <c r="S93" s="215" t="str">
        <f aca="false">INDEX($A$23:$A$82,$S$92)</f>
        <v>CINFON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4">
    <cfRule type="expression" priority="28" aboveAverage="0" equalAverage="0" bottom="0" percent="0" rank="0" text="" dxfId="26">
      <formula>ISTEXT($E24)</formula>
    </cfRule>
  </conditionalFormatting>
  <conditionalFormatting sqref="AB33">
    <cfRule type="expression" priority="29" aboveAverage="0" equalAverage="0" bottom="0" percent="0" rank="0" text="" dxfId="27">
      <formula>ISTEXT($E33)</formula>
    </cfRule>
  </conditionalFormatting>
  <conditionalFormatting sqref="AB41">
    <cfRule type="expression" priority="30" aboveAverage="0" equalAverage="0" bottom="0" percent="0" rank="0" text="" dxfId="28">
      <formula>ISTEXT($E41)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2024-04-16T07:16:41Z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