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33002" sheetId="1" state="visible" r:id="rId3"/>
  </sheets>
  <definedNames>
    <definedName function="false" hidden="false" localSheetId="0" name="_xlnm.Print_Area" vbProcedure="false">'04433002'!$A$1:$Q$82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<sst xmlns="http://schemas.openxmlformats.org/spreadsheetml/2006/main" count="169" uniqueCount="105">
  <si>
    <t xml:space="preserve">Relevés floristiques aquatiques - IBMR</t>
  </si>
  <si>
    <t xml:space="preserve">modèle Irstea-GIS</t>
  </si>
  <si>
    <t xml:space="preserve">AQUABIO</t>
  </si>
  <si>
    <t xml:space="preserve">Angèle LORIENT, Anthony ANTOINE</t>
  </si>
  <si>
    <t xml:space="preserve">la Sioule</t>
  </si>
  <si>
    <t xml:space="preserve">R SIOULE A CHOUVIGNY</t>
  </si>
  <si>
    <t xml:space="preserve">04433002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</si>
  <si>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</si>
  <si>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</si>
  <si>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</si>
  <si>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</si>
  <si>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</si>
  <si>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</si>
  <si>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</si>
  <si>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</si>
  <si>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</si>
  <si>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</si>
  <si>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</si>
  <si>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pl. courant</t>
  </si>
  <si>
    <t xml:space="preserve">autre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</si>
  <si>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</si>
  <si>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</si>
  <si>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</si>
  <si>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</si>
  <si>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</si>
  <si>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</si>
  <si>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</si>
  <si>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</si>
  <si>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</si>
  <si>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</si>
  <si>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</si>
  <si>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</si>
  <si>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</si>
  <si>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</si>
  <si>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</si>
  <si>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</si>
  <si>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</si>
  <si>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</si>
  <si>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</si>
  <si>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</si>
  <si>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</si>
  <si>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</si>
  <si>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</si>
  <si>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</si>
  <si>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</si>
  <si>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</si>
  <si>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</si>
  <si>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</si>
  <si>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</si>
  <si>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</si>
  <si>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</si>
  <si>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</si>
  <si>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</si>
  <si>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</si>
  <si>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</si>
  <si>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</si>
  <si>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</si>
  <si>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</si>
  <si>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</si>
  <si>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</si>
  <si>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</si>
  <si>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</si>
  <si>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</si>
  <si>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</si>
  <si>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</si>
  <si>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</si>
  <si>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</si>
  <si>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</si>
  <si>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</si>
  <si>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</si>
  <si>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</si>
  <si>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</si>
  <si>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</si>
  <si>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</si>
  <si>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</si>
  <si>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</si>
  <si>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</si>
  <si>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</si>
  <si>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</si>
  <si>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CLASPX</t>
  </si>
  <si>
    <t xml:space="preserve"> -</t>
  </si>
  <si>
    <t xml:space="preserve">OEDSPX</t>
  </si>
  <si>
    <t xml:space="preserve">ELONUT</t>
  </si>
  <si>
    <t xml:space="preserve">MELSPX</t>
  </si>
  <si>
    <t xml:space="preserve">PHAARU</t>
  </si>
  <si>
    <t xml:space="preserve">SPISPX</t>
  </si>
  <si>
    <t xml:space="preserve">DIASPX</t>
  </si>
  <si>
    <t xml:space="preserve">RANPEU</t>
  </si>
  <si>
    <t xml:space="preserve">RHYRIP</t>
  </si>
  <si>
    <t xml:space="preserve">MYRALT</t>
  </si>
  <si>
    <t xml:space="preserve">PHOSPX</t>
  </si>
  <si>
    <t xml:space="preserve">EQUARV</t>
  </si>
  <si>
    <t xml:space="preserve">GOMSPX</t>
  </si>
  <si>
    <t xml:space="preserve">GOPSPX</t>
  </si>
  <si>
    <t xml:space="preserve">PAASPX</t>
  </si>
  <si>
    <t xml:space="preserve">NEWCOD</t>
  </si>
  <si>
    <t xml:space="preserve">Cyperaceae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</si>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</sst>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42214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10.952380952381</v>
      </c>
      <c r="N5" s="48"/>
      <c r="O5" s="49" t="s">
        <v>16</v>
      </c>
      <c r="P5" s="50" t="n">
        <v>10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1</v>
      </c>
      <c r="P6" s="62" t="s">
        <v>22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23</v>
      </c>
      <c r="B7" s="65" t="n">
        <v>83</v>
      </c>
      <c r="C7" s="66" t="n">
        <v>17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24</v>
      </c>
      <c r="P7" s="75" t="s">
        <v>25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26</v>
      </c>
      <c r="B8" s="40"/>
      <c r="C8" s="40"/>
      <c r="D8" s="54"/>
      <c r="E8" s="54"/>
      <c r="F8" s="77" t="s">
        <v>27</v>
      </c>
      <c r="G8" s="78"/>
      <c r="H8" s="54"/>
      <c r="I8" s="6"/>
      <c r="J8" s="69"/>
      <c r="K8" s="70"/>
      <c r="L8" s="71"/>
      <c r="M8" s="72"/>
      <c r="N8" s="79" t="s">
        <v>28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29</v>
      </c>
      <c r="B9" s="65" t="n">
        <v>0.699999988079071</v>
      </c>
      <c r="C9" s="66" t="n">
        <v>0.5</v>
      </c>
      <c r="D9" s="82"/>
      <c r="E9" s="82"/>
      <c r="F9" s="83" t="n">
        <f aca="false">($B9*$B$7+$C9*$C$7)/100</f>
        <v>0.665999990105629</v>
      </c>
      <c r="G9" s="84"/>
      <c r="H9" s="41"/>
      <c r="I9" s="6"/>
      <c r="J9" s="85"/>
      <c r="K9" s="86"/>
      <c r="L9" s="71"/>
      <c r="M9" s="87"/>
      <c r="N9" s="79" t="s">
        <v>30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31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32</v>
      </c>
      <c r="L10" s="92"/>
      <c r="M10" s="93"/>
      <c r="N10" s="79" t="s">
        <v>33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34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35</v>
      </c>
      <c r="K11" s="101"/>
      <c r="L11" s="102" t="n">
        <f aca="false">COUNTIF($G$23:$G$82,"=HET")</f>
        <v>0</v>
      </c>
      <c r="M11" s="103"/>
      <c r="N11" s="79" t="s">
        <v>36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37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38</v>
      </c>
      <c r="K12" s="101"/>
      <c r="L12" s="102" t="n">
        <f aca="false">COUNTIF($G$23:$G$82,"=ALG")</f>
        <v>0</v>
      </c>
      <c r="M12" s="103"/>
      <c r="N12" s="107"/>
      <c r="O12" s="108" t="s">
        <v>32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39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40</v>
      </c>
      <c r="K13" s="101"/>
      <c r="L13" s="102" t="n">
        <f aca="false">COUNTIF($G$23:$G$82,"=BRm")+COUNTIF($G$23:$G$82,"=BRh")</f>
        <v>0</v>
      </c>
      <c r="M13" s="103"/>
      <c r="N13" s="111" t="s">
        <v>41</v>
      </c>
      <c r="O13" s="112" t="n">
        <f aca="false">COUNTIF(F23:F82,"&gt;0")</f>
        <v>17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42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43</v>
      </c>
      <c r="K14" s="101"/>
      <c r="L14" s="102" t="n">
        <f aca="false">COUNTIF($G$23:$G$82,"=PTE")+COUNTIF($G$23:$G$82,"=LIC")</f>
        <v>0</v>
      </c>
      <c r="M14" s="103"/>
      <c r="N14" s="114" t="s">
        <v>44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45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46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47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48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49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50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51</v>
      </c>
      <c r="M17" s="129" t="n">
        <f aca="false">IF(ISERROR((O13-(COUNTIF(J23:J82,"nc")))/O13),"-",(O13-(COUNTIF(J23:J82,"nc")))/O13)</f>
        <v>1</v>
      </c>
      <c r="N17" s="111" t="s">
        <v>52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53</v>
      </c>
      <c r="B18" s="132"/>
      <c r="C18" s="133"/>
      <c r="D18" s="82"/>
      <c r="E18" s="134" t="s">
        <v>54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55</v>
      </c>
      <c r="B20" s="154" t="n">
        <f aca="false">SUM(B23:B62)</f>
        <v>0.787778508849442</v>
      </c>
      <c r="C20" s="155" t="n">
        <f aca="false">SUM(C23:C62)</f>
        <v>0.639999995008111</v>
      </c>
      <c r="D20" s="156"/>
      <c r="E20" s="157" t="s">
        <v>54</v>
      </c>
      <c r="F20" s="158" t="n">
        <f aca="false">($B20*$B$7+$C20*$C$7)/100</f>
        <v>0.762656161496416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56</v>
      </c>
      <c r="B21" s="166" t="n">
        <f aca="false">B20*B7/100</f>
        <v>0.653856162345037</v>
      </c>
      <c r="C21" s="166" t="n">
        <f aca="false">C20*C7/100</f>
        <v>0.108799999151379</v>
      </c>
      <c r="D21" s="167" t="s">
        <v>57</v>
      </c>
      <c r="E21" s="168"/>
      <c r="F21" s="169" t="n">
        <f aca="false">B21+C21</f>
        <v>0.762656161496416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58</v>
      </c>
    </row>
    <row r="22" customFormat="false" ht="12.75" hidden="false" customHeight="false" outlineLevel="0" collapsed="false">
      <c r="A22" s="178" t="s">
        <v>59</v>
      </c>
      <c r="B22" s="179" t="s">
        <v>60</v>
      </c>
      <c r="C22" s="179" t="s">
        <v>60</v>
      </c>
      <c r="D22" s="180"/>
      <c r="E22" s="181"/>
      <c r="F22" s="182" t="s">
        <v>61</v>
      </c>
      <c r="G22" s="183" t="s">
        <v>62</v>
      </c>
      <c r="H22" s="82" t="s">
        <v>63</v>
      </c>
      <c r="I22" s="6" t="s">
        <v>64</v>
      </c>
      <c r="J22" s="184" t="s">
        <v>65</v>
      </c>
      <c r="K22" s="184" t="s">
        <v>66</v>
      </c>
      <c r="L22" s="185" t="s">
        <v>67</v>
      </c>
      <c r="M22" s="185"/>
      <c r="N22" s="185"/>
      <c r="O22" s="185"/>
      <c r="P22" s="177" t="s">
        <v>68</v>
      </c>
      <c r="Q22" s="186" t="s">
        <v>69</v>
      </c>
      <c r="R22" s="187" t="s">
        <v>70</v>
      </c>
      <c r="S22" s="188" t="s">
        <v>71</v>
      </c>
      <c r="T22" s="189" t="s">
        <v>72</v>
      </c>
      <c r="U22" s="189" t="s">
        <v>73</v>
      </c>
      <c r="V22" s="190" t="s">
        <v>74</v>
      </c>
      <c r="W22" s="191" t="s">
        <v>75</v>
      </c>
      <c r="X22" s="191" t="s">
        <v>76</v>
      </c>
      <c r="Y22" s="192" t="s">
        <v>77</v>
      </c>
      <c r="Z22" s="192" t="s">
        <v>78</v>
      </c>
    </row>
    <row r="23" customFormat="false" ht="12.75" hidden="false" customHeight="false" outlineLevel="0" collapsed="false">
      <c r="A23" s="193" t="s">
        <v>79</v>
      </c>
      <c r="B23" s="194" t="n">
        <v>0.205556005239487</v>
      </c>
      <c r="C23" s="195" t="n">
        <v>0.277777999639511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0.217833744287491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80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CLASPX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81</v>
      </c>
      <c r="B24" s="211" t="n">
        <v>0.0122221997007728</v>
      </c>
      <c r="C24" s="212" t="n">
        <v>0.121110998094082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0.0307332954276353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80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OEDSPX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82</v>
      </c>
      <c r="B25" s="211" t="n">
        <v>0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0.00169999996200204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80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ELONUT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83</v>
      </c>
      <c r="B26" s="211" t="n">
        <v>0.00999999977648258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0.00999999977648258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80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MELSPX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84</v>
      </c>
      <c r="B27" s="211" t="n">
        <v>0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0.00169999996200204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80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PHAARU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85</v>
      </c>
      <c r="B28" s="211" t="n">
        <v>0.00999999977648258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0.00999999977648258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80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SPISPX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86</v>
      </c>
      <c r="B29" s="211" t="n">
        <v>0.00999999977648258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0.00999999977648258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80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DIASPX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87</v>
      </c>
      <c r="B30" s="211" t="n">
        <v>0.00999999977648258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80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RANPEU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88</v>
      </c>
      <c r="B31" s="211" t="n">
        <v>0.00999999977648258</v>
      </c>
      <c r="C31" s="212" t="n">
        <v>0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0.00829999981448054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80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RHYRIP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89</v>
      </c>
      <c r="B32" s="211" t="n">
        <v>0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0.00169999996200204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80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MYRALT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90</v>
      </c>
      <c r="B33" s="211" t="n">
        <v>0.00999999977648258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0.00999999977648258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80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PHOSPX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16</v>
      </c>
      <c r="B34" s="211" t="n">
        <v>0.200000002980232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0.167700002435595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80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HILSPX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91</v>
      </c>
      <c r="B35" s="211" t="n">
        <v>0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0.00169999996200204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80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EQUARV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92</v>
      </c>
      <c r="B36" s="211" t="n">
        <v>0.085714302957058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0.0728428714163601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80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GOMSPX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93</v>
      </c>
      <c r="B37" s="211" t="n">
        <v>0.00999999977648258</v>
      </c>
      <c r="C37" s="212" t="n">
        <v>0.111111000180244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0.0271888698451221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80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GOPSPX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94</v>
      </c>
      <c r="B38" s="211" t="n">
        <v>0.214285999536514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0.179557379577309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80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PAASPX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95</v>
      </c>
      <c r="B39" s="211" t="n">
        <v>0</v>
      </c>
      <c r="C39" s="212" t="n">
        <v>0.00999999977648258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0.00169999996200204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Cyperaceae</v>
      </c>
      <c r="M39" s="219"/>
      <c r="N39" s="219"/>
      <c r="O39" s="219"/>
      <c r="P39" s="220" t="s">
        <v>80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>NoCod</v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 t="s">
        <v>96</v>
      </c>
      <c r="X39" s="224"/>
      <c r="Y39" s="207" t="str">
        <f aca="false">IF(AND(ISNUMBER(F39),OR(A39="",A39="!!!!!!")),"!!!!!!",IF(A39="new.cod","NEWCOD",IF(AND((Z39=""),ISTEXT(A39),A39&lt;&gt;"!!!!!!"),A39,IF(Z39="","",INDEX(,Z39)))))</f>
        <v>NEWCOD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80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80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80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80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80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80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80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80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80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80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80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80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80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80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80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80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80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80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80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80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80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80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80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80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80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80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80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80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80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80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80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80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80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80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80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80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80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80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80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80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80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80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80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0.762656161496416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Sioule</v>
      </c>
      <c r="B84" s="175" t="str">
        <f aca="false">C3</f>
        <v>R SIOULE A CHOUVIGNY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17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0.762656161496416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97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98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99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100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101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102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103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104</v>
      </c>
      <c r="S93" s="6"/>
      <c r="T93" s="207" t="str">
        <f aca="false">INDEX($A$23:$A$82,$T$92)</f>
        <v>CLASPX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2024-04-19T08:11:55Z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