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4004" sheetId="1" state="visible" r:id="rId3"/>
  </sheets>
  <definedNames>
    <definedName function="false" hidden="false" localSheetId="0" name="_xlnm.Print_Area" vbProcedure="false">'04434004'!$A$1:$Q$82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<sst xmlns="http://schemas.openxmlformats.org/spreadsheetml/2006/main" count="154" uniqueCount="89">
  <si>
    <t xml:space="preserve">Relevés floristiques aquatiques - IBMR</t>
  </si>
  <si>
    <t xml:space="preserve">AQUABIO</t>
  </si>
  <si>
    <t xml:space="preserve">Aurélie JOSSET, Christelle GISSET</t>
  </si>
  <si>
    <t xml:space="preserve">le Vezan</t>
  </si>
  <si>
    <t xml:space="preserve">LE VEZAN A BRESNAY</t>
  </si>
  <si>
    <t xml:space="preserve">04434004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</si>
  <si>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</si>
  <si>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</si>
  <si>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</si>
  <si>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</si>
  <si>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</si>
  <si>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</si>
  <si>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</si>
  <si>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</si>
  <si>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</si>
  <si>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</si>
  <si>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</si>
  <si>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</si>
  <si>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</si>
  <si>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</si>
  <si>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</si>
  <si>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</si>
  <si>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</si>
  <si>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</si>
  <si>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</si>
  <si>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</si>
  <si>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</si>
  <si>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</si>
  <si>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</si>
  <si>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</si>
  <si>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</si>
  <si>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</si>
  <si>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</si>
  <si>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</si>
  <si>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</si>
  <si>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</si>
  <si>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</si>
  <si>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</si>
  <si>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</si>
  <si>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</si>
  <si>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</si>
  <si>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</si>
  <si>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</si>
  <si>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</si>
  <si>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</si>
  <si>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</si>
  <si>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</si>
  <si>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</si>
  <si>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</si>
  <si>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</si>
  <si>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</si>
  <si>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</si>
  <si>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</si>
  <si>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</si>
  <si>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</si>
  <si>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</si>
  <si>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</si>
  <si>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</si>
  <si>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</si>
  <si>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</si>
  <si>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</si>
  <si>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</si>
  <si>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</si>
  <si>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</si>
  <si>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</si>
  <si>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</si>
  <si>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</si>
  <si>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</si>
  <si>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</si>
  <si>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</si>
  <si>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</si>
  <si>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</si>
  <si>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</si>
  <si>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</si>
  <si>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</si>
  <si>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HILSPX</t>
  </si>
  <si>
    <t xml:space="preserve"> -</t>
  </si>
  <si>
    <t xml:space="preserve">EURSPX</t>
  </si>
  <si>
    <t xml:space="preserve">GLEHED</t>
  </si>
  <si>
    <t xml:space="preserve">NEWCOD</t>
  </si>
  <si>
    <t xml:space="preserve">Cyanophyceae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</si>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</sst>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42572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16.8</v>
      </c>
      <c r="N5" s="48"/>
      <c r="O5" s="49" t="s">
        <v>15</v>
      </c>
      <c r="P5" s="50" t="n">
        <v>15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/>
      <c r="C6" s="53"/>
      <c r="D6" s="54"/>
      <c r="E6" s="54"/>
      <c r="F6" s="55"/>
      <c r="G6" s="43"/>
      <c r="H6" s="41"/>
      <c r="I6" s="6"/>
      <c r="J6" s="56"/>
      <c r="K6" s="57"/>
      <c r="L6" s="58" t="s">
        <v>17</v>
      </c>
      <c r="M6" s="59" t="s">
        <v>18</v>
      </c>
      <c r="N6" s="60"/>
      <c r="O6" s="61" t="n">
        <v>1</v>
      </c>
      <c r="P6" s="62" t="s">
        <v>18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19</v>
      </c>
      <c r="B7" s="65" t="n">
        <v>5</v>
      </c>
      <c r="C7" s="66" t="n">
        <v>95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20</v>
      </c>
      <c r="P7" s="75" t="s">
        <v>21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22</v>
      </c>
      <c r="B8" s="40"/>
      <c r="C8" s="40"/>
      <c r="D8" s="54"/>
      <c r="E8" s="54"/>
      <c r="F8" s="77" t="s">
        <v>23</v>
      </c>
      <c r="G8" s="78"/>
      <c r="H8" s="54"/>
      <c r="I8" s="6"/>
      <c r="J8" s="69"/>
      <c r="K8" s="70"/>
      <c r="L8" s="71"/>
      <c r="M8" s="72"/>
      <c r="N8" s="79" t="s">
        <v>24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25</v>
      </c>
      <c r="B9" s="65" t="n">
        <v>0.200000002980232</v>
      </c>
      <c r="C9" s="66" t="n">
        <v>0.00999999977648258</v>
      </c>
      <c r="D9" s="82"/>
      <c r="E9" s="82"/>
      <c r="F9" s="83" t="n">
        <f aca="false">($B9*$B$7+$C9*$C$7)/100</f>
        <v>0.0194999999366701</v>
      </c>
      <c r="G9" s="84"/>
      <c r="H9" s="41"/>
      <c r="I9" s="6"/>
      <c r="J9" s="85"/>
      <c r="K9" s="86"/>
      <c r="L9" s="71"/>
      <c r="M9" s="87"/>
      <c r="N9" s="79" t="s">
        <v>26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27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28</v>
      </c>
      <c r="L10" s="92"/>
      <c r="M10" s="93"/>
      <c r="N10" s="79" t="s">
        <v>29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30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31</v>
      </c>
      <c r="K11" s="101"/>
      <c r="L11" s="102" t="n">
        <f aca="false">COUNTIF($G$23:$G$82,"=HET")</f>
        <v>0</v>
      </c>
      <c r="M11" s="103"/>
      <c r="N11" s="79" t="s">
        <v>32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33</v>
      </c>
      <c r="B12" s="105" t="n">
        <v>0.200000002980232</v>
      </c>
      <c r="C12" s="106" t="n">
        <v>0.00999999977648258</v>
      </c>
      <c r="D12" s="82"/>
      <c r="E12" s="82"/>
      <c r="F12" s="99" t="n">
        <f aca="false">($B12*$B$7+$C12*$C$7)/100</f>
        <v>0.0194999999366701</v>
      </c>
      <c r="G12" s="100"/>
      <c r="H12" s="54"/>
      <c r="I12" s="6"/>
      <c r="J12" s="101" t="s">
        <v>34</v>
      </c>
      <c r="K12" s="101"/>
      <c r="L12" s="102" t="n">
        <f aca="false">COUNTIF($G$23:$G$82,"=ALG")</f>
        <v>0</v>
      </c>
      <c r="M12" s="103"/>
      <c r="N12" s="107"/>
      <c r="O12" s="108" t="s">
        <v>28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35</v>
      </c>
      <c r="B13" s="105"/>
      <c r="C13" s="106" t="n">
        <v>0.00999999977648258</v>
      </c>
      <c r="D13" s="82"/>
      <c r="E13" s="82"/>
      <c r="F13" s="99" t="n">
        <f aca="false">($B13*$B$7+$C13*$C$7)/100</f>
        <v>0.00949999978765845</v>
      </c>
      <c r="G13" s="100"/>
      <c r="H13" s="54"/>
      <c r="I13" s="6"/>
      <c r="J13" s="101" t="s">
        <v>36</v>
      </c>
      <c r="K13" s="101"/>
      <c r="L13" s="102" t="n">
        <f aca="false">COUNTIF($G$23:$G$82,"=BRm")+COUNTIF($G$23:$G$82,"=BRh")</f>
        <v>0</v>
      </c>
      <c r="M13" s="103"/>
      <c r="N13" s="111" t="s">
        <v>37</v>
      </c>
      <c r="O13" s="112" t="n">
        <f aca="false">COUNTIF(F23:F82,"&gt;0")</f>
        <v>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38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39</v>
      </c>
      <c r="K14" s="101"/>
      <c r="L14" s="102" t="n">
        <f aca="false">COUNTIF($G$23:$G$82,"=PTE")+COUNTIF($G$23:$G$82,"=LIC")</f>
        <v>0</v>
      </c>
      <c r="M14" s="103"/>
      <c r="N14" s="114" t="s">
        <v>40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41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42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43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44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45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46</v>
      </c>
      <c r="B17" s="105" t="n">
        <v>0.200000002980232</v>
      </c>
      <c r="C17" s="106" t="n">
        <v>0.00999999977648258</v>
      </c>
      <c r="D17" s="82"/>
      <c r="E17" s="82"/>
      <c r="F17" s="124"/>
      <c r="G17" s="125" t="n">
        <f aca="false">($B17*$B$7+$C17*$C$7)/100</f>
        <v>0.0194999999366701</v>
      </c>
      <c r="H17" s="54"/>
      <c r="I17" s="6"/>
      <c r="J17" s="126"/>
      <c r="K17" s="127"/>
      <c r="L17" s="128" t="s">
        <v>47</v>
      </c>
      <c r="M17" s="129" t="n">
        <f aca="false">IF(ISERROR((O13-(COUNTIF(J23:J82,"nc")))/O13),"-",(O13-(COUNTIF(J23:J82,"nc")))/O13)</f>
        <v>1</v>
      </c>
      <c r="N17" s="111" t="s">
        <v>48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49</v>
      </c>
      <c r="B18" s="132"/>
      <c r="C18" s="133"/>
      <c r="D18" s="82"/>
      <c r="E18" s="134" t="s">
        <v>50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1</v>
      </c>
      <c r="E19" s="143" t="n">
        <f aca="false">IF($F$21=0,0,IF((ABS($F$21-$F$19))&gt;(0.2*$F19),1))</f>
        <v>1</v>
      </c>
      <c r="F19" s="144" t="n">
        <f aca="false">SUM(F11:F15)</f>
        <v>0.0289999997243285</v>
      </c>
      <c r="G19" s="145" t="n">
        <f aca="false">SUM(G16:G18)</f>
        <v>0.0194999999366701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51</v>
      </c>
      <c r="B20" s="154" t="n">
        <f aca="false">SUM(B23:B82)</f>
        <v>0.210000002756715</v>
      </c>
      <c r="C20" s="155" t="n">
        <f aca="false">SUM(C23:C82)</f>
        <v>0.0499999988824129</v>
      </c>
      <c r="D20" s="156"/>
      <c r="E20" s="157" t="s">
        <v>50</v>
      </c>
      <c r="F20" s="158" t="n">
        <f aca="false">($B20*$B$7+$C20*$C$7)/100</f>
        <v>0.057999999076128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52</v>
      </c>
      <c r="B21" s="166" t="n">
        <f aca="false">B20*B7/100</f>
        <v>0.0105000001378357</v>
      </c>
      <c r="C21" s="166" t="n">
        <f aca="false">C20*C7/100</f>
        <v>0.0474999989382923</v>
      </c>
      <c r="D21" s="167" t="s">
        <v>53</v>
      </c>
      <c r="E21" s="168"/>
      <c r="F21" s="169" t="n">
        <f aca="false">B21+C21</f>
        <v>0.057999999076128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54</v>
      </c>
    </row>
    <row r="22" customFormat="false" ht="12.75" hidden="false" customHeight="false" outlineLevel="0" collapsed="false">
      <c r="A22" s="178" t="s">
        <v>55</v>
      </c>
      <c r="B22" s="179" t="s">
        <v>56</v>
      </c>
      <c r="C22" s="179" t="s">
        <v>56</v>
      </c>
      <c r="D22" s="180"/>
      <c r="E22" s="181"/>
      <c r="F22" s="182" t="s">
        <v>57</v>
      </c>
      <c r="G22" s="183" t="s">
        <v>58</v>
      </c>
      <c r="H22" s="82" t="s">
        <v>59</v>
      </c>
      <c r="I22" s="6" t="s">
        <v>60</v>
      </c>
      <c r="J22" s="184" t="s">
        <v>61</v>
      </c>
      <c r="K22" s="184" t="s">
        <v>62</v>
      </c>
      <c r="L22" s="185" t="s">
        <v>63</v>
      </c>
      <c r="M22" s="185"/>
      <c r="N22" s="185"/>
      <c r="O22" s="185"/>
      <c r="P22" s="177" t="s">
        <v>64</v>
      </c>
      <c r="Q22" s="186" t="s">
        <v>65</v>
      </c>
      <c r="R22" s="187" t="s">
        <v>66</v>
      </c>
      <c r="S22" s="188" t="s">
        <v>67</v>
      </c>
      <c r="T22" s="189" t="s">
        <v>68</v>
      </c>
      <c r="U22" s="189" t="s">
        <v>69</v>
      </c>
      <c r="V22" s="190" t="s">
        <v>70</v>
      </c>
      <c r="W22" s="191" t="s">
        <v>71</v>
      </c>
      <c r="X22" s="191" t="s">
        <v>72</v>
      </c>
      <c r="Y22" s="192" t="s">
        <v>73</v>
      </c>
      <c r="Z22" s="192" t="s">
        <v>74</v>
      </c>
    </row>
    <row r="23" customFormat="false" ht="12.75" hidden="false" customHeight="false" outlineLevel="0" collapsed="false">
      <c r="A23" s="193" t="s">
        <v>75</v>
      </c>
      <c r="B23" s="194" t="n">
        <v>0.200000002980232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0.0194999999366701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76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HILSPX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15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0.00949999978765845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76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CRAFIL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77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76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EURSPX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78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0.00949999978765845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76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GLEHED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79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0.00949999978765845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Cyanophyceae</v>
      </c>
      <c r="M27" s="219"/>
      <c r="N27" s="219"/>
      <c r="O27" s="219"/>
      <c r="P27" s="220" t="s">
        <v>76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>NoCod</v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 t="s">
        <v>80</v>
      </c>
      <c r="X27" s="224"/>
      <c r="Y27" s="207" t="str">
        <f aca="false">IF(AND(ISNUMBER(F27),OR(A27="",A27="!!!!!!")),"!!!!!!",IF(A27="new.cod","NEWCOD",IF(AND((Z27=""),ISTEXT(A27),A27&lt;&gt;"!!!!!!"),A27,IF(Z27="","",INDEX(,Z27)))))</f>
        <v>NEWCOD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76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76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76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76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76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76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76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76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76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76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76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76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76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76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76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76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76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76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76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76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76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76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76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76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76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76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76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76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76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76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76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76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76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76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76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76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76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76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76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76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76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76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76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76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76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76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76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76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76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76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76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76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76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76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76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0.057999999076128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Vezan</v>
      </c>
      <c r="B84" s="175" t="str">
        <f aca="false">C3</f>
        <v>LE VEZAN A BRESNAY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0.057999999076128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85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88</v>
      </c>
      <c r="S93" s="6"/>
      <c r="T93" s="207" t="str">
        <f aca="false">INDEX($A$23:$A$82,$T$92)</f>
        <v>HILSPX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2024-04-24T21:17:18Z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