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re" sheetId="1" state="visible" r:id="rId3"/>
  </sheets>
  <externalReferences>
    <externalReference r:id="rId4"/>
  </externalReferences>
  <definedNames>
    <definedName function="false" hidden="false" localSheetId="0" name="Excel_BuiltIn_Print_Area" vbProcedure="false">Authre!$A$1:$O$82</definedName>
    <definedName function="false" hidden="false" localSheetId="0" name="Excel_BuiltIn__FilterDatabase" vbProcedure="false">Authre!$A$23:$J$84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<sst xmlns="http://schemas.openxmlformats.org/spreadsheetml/2006/main" count="108" uniqueCount="104">
  <si>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</si>
  <si>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</si>
  <si>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</si>
  <si>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</si>
  <si>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</si>
  <si>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Authre</t>
  </si>
  <si>
    <t xml:space="preserve">Jussac</t>
  </si>
  <si>
    <t xml:space="preserve">05063950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</si>
  <si>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</si>
  <si>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</si>
  <si>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</si>
  <si>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</si>
  <si>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</si>
  <si>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</si>
  <si>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</si>
  <si>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ELO.CAN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</si>
  <si>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</si>
  <si>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</si>
  <si>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</si>
  <si>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</si>
  <si>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</si>
  <si>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</si>
  <si>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</si>
  <si>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</si>
  <si>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</si>
  <si>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</si>
  <si>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</si>
  <si>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</si>
  <si>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</si>
  <si>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</si>
  <si>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</si>
  <si>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</si>
  <si>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</si>
  <si>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</si>
  <si>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</si>
  <si>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</si>
  <si>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</si>
  <si>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</si>
  <si>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</si>
  <si>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</si>
  <si>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</si>
  <si>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</si>
  <si>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</si>
  <si>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</si>
  <si>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</si>
  <si>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</si>
  <si>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</si>
  <si>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</si>
  <si>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</si>
  <si>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</si>
  <si>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</si>
  <si>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</si>
  <si>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</si>
  <si>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</si>
  <si>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</si>
  <si>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</si>
  <si>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</si>
  <si>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</si>
  <si>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</si>
  <si>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</si>
  <si>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</si>
  <si>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</si>
  <si>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</si>
  <si>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</si>
  <si>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</si>
  <si>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</si>
  <si>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</si>
  <si>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</si>
  <si>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</si>
  <si>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</si>
  <si>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</si>
  <si>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</si>
  <si>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</si>
  <si>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</si>
  <si>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VAU.SPX</t>
  </si>
  <si>
    <t xml:space="preserve">RHI.SPX</t>
  </si>
  <si>
    <t xml:space="preserve">MEL.SPX</t>
  </si>
  <si>
    <t xml:space="preserve">ULO.SPX</t>
  </si>
  <si>
    <t xml:space="preserve">LEA.SPX</t>
  </si>
  <si>
    <t xml:space="preserve">STI.SPX</t>
  </si>
  <si>
    <t xml:space="preserve">CAL.HAM</t>
  </si>
  <si>
    <t xml:space="preserve">CAL.STA</t>
  </si>
  <si>
    <t xml:space="preserve">CAL.PLA</t>
  </si>
  <si>
    <t xml:space="preserve">RAN.TRI</t>
  </si>
  <si>
    <t xml:space="preserve">LEM.MIN</t>
  </si>
  <si>
    <t xml:space="preserve">SCI.SYL</t>
  </si>
  <si>
    <t xml:space="preserve">GLY.FLU</t>
  </si>
  <si>
    <t xml:space="preserve">SPA.ERE</t>
  </si>
  <si>
    <t xml:space="preserve">HIL.SPX</t>
  </si>
  <si>
    <t xml:space="preserve">FON.ANT</t>
  </si>
  <si>
    <t xml:space="preserve">POT.CRI</t>
  </si>
  <si>
    <t xml:space="preserve">AMB.RIP</t>
  </si>
  <si>
    <t xml:space="preserve">PHA.ARU</t>
  </si>
  <si>
    <t xml:space="preserve">RAN.REP</t>
  </si>
  <si>
    <t xml:space="preserve">LYC.EUR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</si>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</sst>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40411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9.84444444444445</v>
      </c>
      <c r="M5" s="51"/>
      <c r="N5" s="52" t="s">
        <v>15</v>
      </c>
      <c r="O5" s="53" t="n">
        <v>9.82051282051282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50</v>
      </c>
      <c r="C7" s="65" t="n">
        <v>50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10.1428571428571</v>
      </c>
      <c r="O8" s="82" t="n">
        <f aca="false">AVERAGE(J23:J82)</f>
        <v>1.52380952380952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3.08683841957616</v>
      </c>
      <c r="O9" s="82" t="n">
        <f aca="false">STDEV(J23:J82)</f>
        <v>0.511766315719159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4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1.58</v>
      </c>
      <c r="C12" s="117" t="n">
        <v>0</v>
      </c>
      <c r="D12" s="109"/>
      <c r="E12" s="109"/>
      <c r="F12" s="110" t="n">
        <f aca="false">($B12*$B$7+$C12*$C$7)/100</f>
        <v>0.79</v>
      </c>
      <c r="G12" s="118"/>
      <c r="H12" s="66"/>
      <c r="I12" s="119" t="s">
        <v>37</v>
      </c>
      <c r="J12" s="119"/>
      <c r="K12" s="113" t="n">
        <f aca="false">COUNTIF($G$23:$G$82,"=ALG")</f>
        <v>7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1.07</v>
      </c>
      <c r="C13" s="117" t="n">
        <v>0.02</v>
      </c>
      <c r="D13" s="109"/>
      <c r="E13" s="109"/>
      <c r="F13" s="110" t="n">
        <f aca="false">($B13*$B$7+$C13*$C$7)/100</f>
        <v>0.545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2</v>
      </c>
      <c r="L13" s="114"/>
      <c r="M13" s="124" t="s">
        <v>40</v>
      </c>
      <c r="N13" s="125" t="n">
        <f aca="false">COUNTIF(F23:F82,"&gt;0")</f>
        <v>22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21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2.27</v>
      </c>
      <c r="C15" s="132" t="n">
        <v>5.54</v>
      </c>
      <c r="D15" s="109"/>
      <c r="E15" s="109"/>
      <c r="F15" s="110" t="n">
        <f aca="false">($B15*$B$7+$C15*$C$7)/100</f>
        <v>3.905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13</v>
      </c>
      <c r="L15" s="114"/>
      <c r="M15" s="133" t="s">
        <v>46</v>
      </c>
      <c r="N15" s="134" t="n">
        <f aca="false">COUNTIF(J23:J82,"=1")</f>
        <v>10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0.01</v>
      </c>
      <c r="C16" s="108" t="n">
        <v>0.43</v>
      </c>
      <c r="D16" s="136"/>
      <c r="E16" s="136"/>
      <c r="F16" s="137"/>
      <c r="G16" s="137" t="n">
        <f aca="false">($B16*$B$7+$C16*$C$7)/100</f>
        <v>0.22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11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4.83</v>
      </c>
      <c r="C17" s="117" t="n">
        <v>5.09</v>
      </c>
      <c r="D17" s="109"/>
      <c r="E17" s="109"/>
      <c r="F17" s="139"/>
      <c r="G17" s="110" t="n">
        <f aca="false">($B17*$B$7+$C17*$C$7)/100</f>
        <v>4.96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0.08</v>
      </c>
      <c r="C18" s="142" t="n">
        <v>0.04</v>
      </c>
      <c r="D18" s="109"/>
      <c r="E18" s="143" t="s">
        <v>52</v>
      </c>
      <c r="F18" s="139"/>
      <c r="G18" s="110" t="n">
        <f aca="false">($B18*$B$7+$C18*$C$7)/100</f>
        <v>0.06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5.24</v>
      </c>
      <c r="G19" s="151" t="n">
        <f aca="false">SUM(G16:G18)</f>
        <v>5.24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4.92</v>
      </c>
      <c r="C20" s="160" t="n">
        <f aca="false">SUM(C23:C82)</f>
        <v>5.56</v>
      </c>
      <c r="D20" s="161"/>
      <c r="E20" s="162" t="s">
        <v>52</v>
      </c>
      <c r="F20" s="163" t="n">
        <f aca="false">($B20*$B$7+$C20*$C$7)/100</f>
        <v>5.24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2.46</v>
      </c>
      <c r="C21" s="172" t="n">
        <f aca="false">C20*C7/100</f>
        <v>2.78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5.24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0.5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Vaucheria sp.</v>
      </c>
      <c r="E23" s="197" t="e">
        <f aca="false">IF(D23="",0,VLOOKUP(D23,D$22:D22,1,0))</f>
        <v>#N/A</v>
      </c>
      <c r="F23" s="198" t="n">
        <f aca="false">($B23*$B$7+$C23*$C$7)/100</f>
        <v>0.25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4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Vaucheria sp.</v>
      </c>
      <c r="L23" s="204"/>
      <c r="M23" s="204"/>
      <c r="N23" s="204"/>
      <c r="O23" s="205"/>
      <c r="P23" s="206" t="n">
        <f aca="false">IF(ISTEXT(H23),"",(B23*$B$7/100)+(C23*$C$7/100))</f>
        <v>0.25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8</v>
      </c>
      <c r="S23" s="207" t="n">
        <f aca="false">IF(ISERROR(Q23*I23*J23),0,Q23*I23*J23)</f>
        <v>8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VAU.SPX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83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0.5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Rhizoclonium sp.       </v>
      </c>
      <c r="E24" s="215" t="e">
        <f aca="false">IF(D24="",0,VLOOKUP(D24,D$22:D23,1,0))</f>
        <v>#N/A</v>
      </c>
      <c r="F24" s="216" t="n">
        <f aca="false">($B24*$B$7+$C24*$C$7)/100</f>
        <v>0.25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4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Rhizoclonium sp.       </v>
      </c>
      <c r="L24" s="220"/>
      <c r="M24" s="220"/>
      <c r="N24" s="220"/>
      <c r="O24" s="205"/>
      <c r="P24" s="206" t="n">
        <f aca="false">IF(ISTEXT(H24),"",(B24*$B$7/100)+(C24*$C$7/100))</f>
        <v>0.25</v>
      </c>
      <c r="Q24" s="207" t="n">
        <f aca="false">IF(OR(ISTEXT(H24),P24=0),"",IF(P24&lt;0.1,1,IF(P24&lt;1,2,IF(P24&lt;10,3,IF(P24&lt;50,4,IF(P24&gt;=50,5,""))))))</f>
        <v>2</v>
      </c>
      <c r="R24" s="207" t="n">
        <f aca="false">IF(ISERROR(Q24*I24),0,Q24*I24)</f>
        <v>8</v>
      </c>
      <c r="S24" s="207" t="n">
        <f aca="false">IF(ISERROR(Q24*I24*J24),0,Q24*I24*J24)</f>
        <v>16</v>
      </c>
      <c r="T24" s="221" t="n">
        <f aca="false">IF(ISERROR(Q24*J24),0,Q24*J24)</f>
        <v>4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RHI.SPX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63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5" t="e">
        <f aca="false">IF(D25="",0,VLOOKUP(D25,D$22:D24,1,0))</f>
        <v>#N/A</v>
      </c>
      <c r="F25" s="216" t="n">
        <f aca="false">($B25*$B$7+$C25*$C$7)/100</f>
        <v>0.005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20"/>
      <c r="M25" s="220"/>
      <c r="N25" s="220"/>
      <c r="O25" s="205"/>
      <c r="P25" s="206" t="n">
        <f aca="false">IF(ISTEXT(H25),"",(B25*$B$7/100)+(C25*$C$7/100))</f>
        <v>0.005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MEL.SPX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77</v>
      </c>
      <c r="B26" s="213" t="n">
        <v>0.5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Ulothrix sp.       </v>
      </c>
      <c r="E26" s="215" t="e">
        <f aca="false">IF(D26="",0,VLOOKUP(D26,D$22:D25,1,0))</f>
        <v>#N/A</v>
      </c>
      <c r="F26" s="216" t="n">
        <f aca="false">($B26*$B$7+$C26*$C$7)/100</f>
        <v>0.25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Ulothrix sp.       </v>
      </c>
      <c r="L26" s="220"/>
      <c r="M26" s="220"/>
      <c r="N26" s="220"/>
      <c r="O26" s="205"/>
      <c r="P26" s="206" t="n">
        <f aca="false">IF(ISTEXT(H26),"",(B26*$B$7/100)+(C26*$C$7/100))</f>
        <v>0.25</v>
      </c>
      <c r="Q26" s="207" t="n">
        <f aca="false">IF(OR(ISTEXT(H26),P26=0),"",IF(P26&lt;0.1,1,IF(P26&lt;1,2,IF(P26&lt;10,3,IF(P26&lt;50,4,IF(P26&gt;=50,5,""))))))</f>
        <v>2</v>
      </c>
      <c r="R26" s="207" t="n">
        <f aca="false">IF(ISERROR(Q26*I26),0,Q26*I26)</f>
        <v>20</v>
      </c>
      <c r="S26" s="207" t="n">
        <f aca="false">IF(ISERROR(Q26*I26*J26),0,Q26*I26*J26)</f>
        <v>20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ULO.SPX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82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78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Lemanea gr. fluviatilis</v>
      </c>
      <c r="E27" s="215" t="e">
        <f aca="false">IF(D27="",0,VLOOKUP(D27,D$22:D26,1,0))</f>
        <v>#N/A</v>
      </c>
      <c r="F27" s="216" t="n">
        <f aca="false">($B27*$B$7+$C27*$C$7)/100</f>
        <v>0.005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15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Lemanea gr. fluviatilis</v>
      </c>
      <c r="L27" s="220"/>
      <c r="M27" s="220"/>
      <c r="N27" s="220"/>
      <c r="O27" s="205"/>
      <c r="P27" s="206" t="n">
        <f aca="false">IF(ISTEXT(H27),"",(B27*$B$7/100)+(C27*$C$7/100))</f>
        <v>0.005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15</v>
      </c>
      <c r="S27" s="207" t="n">
        <f aca="false">IF(ISERROR(Q27*I27*J27),0,Q27*I27*J27)</f>
        <v>30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LEA.SPX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35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79</v>
      </c>
      <c r="B28" s="213" t="n">
        <v>0.05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Stigeoclonium sp.</v>
      </c>
      <c r="E28" s="215" t="e">
        <f aca="false">IF(D28="",0,VLOOKUP(D28,D$22:D27,1,0))</f>
        <v>#N/A</v>
      </c>
      <c r="F28" s="216" t="n">
        <f aca="false">($B28*$B$7+$C28*$C$7)/100</f>
        <v>0.025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13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Stigeoclonium sp.</v>
      </c>
      <c r="L28" s="220"/>
      <c r="M28" s="220"/>
      <c r="N28" s="220"/>
      <c r="O28" s="205"/>
      <c r="P28" s="206" t="n">
        <f aca="false">IF(ISTEXT(H28),"",(B28*$B$7/100)+(C28*$C$7/100))</f>
        <v>0.025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13</v>
      </c>
      <c r="S28" s="207" t="n">
        <f aca="false">IF(ISERROR(Q28*I28*J28),0,Q28*I28*J28)</f>
        <v>26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STI.SPX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72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80</v>
      </c>
      <c r="B29" s="213" t="n">
        <v>0.14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Callitriche hamulata</v>
      </c>
      <c r="E29" s="215" t="e">
        <f aca="false">IF(D29="",0,VLOOKUP(D29,D$22:D28,1,0))</f>
        <v>#N/A</v>
      </c>
      <c r="F29" s="216" t="n">
        <f aca="false">($B29*$B$7+$C29*$C$7)/100</f>
        <v>0.07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Callitriche hamulata</v>
      </c>
      <c r="L29" s="220"/>
      <c r="M29" s="220"/>
      <c r="N29" s="220"/>
      <c r="O29" s="205"/>
      <c r="P29" s="206" t="n">
        <f aca="false">IF(ISTEXT(H29),"",(B29*$B$7/100)+(C29*$C$7/100))</f>
        <v>0.07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12</v>
      </c>
      <c r="S29" s="207" t="n">
        <f aca="false">IF(ISERROR(Q29*I29*J29),0,Q29*I29*J29)</f>
        <v>12</v>
      </c>
      <c r="T29" s="221" t="n">
        <f aca="false">IF(ISERROR(Q29*J29),0,Q29*J29)</f>
        <v>1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CAL.HAM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318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81</v>
      </c>
      <c r="B30" s="213" t="n">
        <v>0.01</v>
      </c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Callitriche stagnalis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Callitriche stagnalis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12</v>
      </c>
      <c r="S30" s="207" t="n">
        <f aca="false">IF(ISERROR(Q30*I30*J30),0,Q30*I30*J30)</f>
        <v>24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CAL.STA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329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15</v>
      </c>
      <c r="B31" s="213" t="n">
        <v>0.01</v>
      </c>
      <c r="C31" s="214" t="n">
        <v>5</v>
      </c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Elodea canadensis</v>
      </c>
      <c r="E31" s="215" t="e">
        <f aca="false">IF(D31="",0,VLOOKUP(D31,D$21:D30,1,0))</f>
        <v>#N/A</v>
      </c>
      <c r="F31" s="216" t="n">
        <f aca="false">($B31*$B$7+$C31*$C$7)/100</f>
        <v>2.505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Elodea canadensis</v>
      </c>
      <c r="L31" s="220"/>
      <c r="M31" s="220"/>
      <c r="N31" s="220"/>
      <c r="O31" s="205"/>
      <c r="P31" s="206" t="n">
        <f aca="false">IF(ISTEXT(H31),"",(B31*$B$7/100)+(C31*$C$7/100))</f>
        <v>2.505</v>
      </c>
      <c r="Q31" s="207" t="n">
        <f aca="false">IF(OR(ISTEXT(H31),P31=0),"",IF(P31&lt;0.1,1,IF(P31&lt;1,2,IF(P31&lt;10,3,IF(P31&lt;50,4,IF(P31&gt;=50,5,""))))))</f>
        <v>3</v>
      </c>
      <c r="R31" s="207" t="n">
        <f aca="false">IF(ISERROR(Q31*I31),0,Q31*I31)</f>
        <v>30</v>
      </c>
      <c r="S31" s="207" t="n">
        <f aca="false">IF(ISERROR(Q31*I31*J31),0,Q31*I31*J31)</f>
        <v>60</v>
      </c>
      <c r="T31" s="221" t="n">
        <f aca="false">IF(ISERROR(Q31*J31),0,Q31*J31)</f>
        <v>6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ELO.CAN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344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82</v>
      </c>
      <c r="B32" s="213" t="n">
        <v>1.71</v>
      </c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Callitriche platycarpa</v>
      </c>
      <c r="E32" s="215" t="e">
        <f aca="false">IF(D32="",0,VLOOKUP(D32,D$22:D31,1,0))</f>
        <v>#N/A</v>
      </c>
      <c r="F32" s="216" t="n">
        <f aca="false">($B32*$B$7+$C32*$C$7)/100</f>
        <v>0.855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Callitriche platycarpa</v>
      </c>
      <c r="L32" s="220"/>
      <c r="M32" s="220"/>
      <c r="N32" s="220"/>
      <c r="O32" s="205"/>
      <c r="P32" s="206" t="n">
        <f aca="false">IF(ISTEXT(H32),"",(B32*$B$7/100)+(C32*$C$7/100))</f>
        <v>0.855</v>
      </c>
      <c r="Q32" s="207" t="n">
        <f aca="false">IF(OR(ISTEXT(H32),P32=0),"",IF(P32&lt;0.1,1,IF(P32&lt;1,2,IF(P32&lt;10,3,IF(P32&lt;50,4,IF(P32&gt;=50,5,""))))))</f>
        <v>2</v>
      </c>
      <c r="R32" s="207" t="n">
        <f aca="false">IF(ISERROR(Q32*I32),0,Q32*I32)</f>
        <v>20</v>
      </c>
      <c r="S32" s="207" t="n">
        <f aca="false">IF(ISERROR(Q32*I32*J32),0,Q32*I32*J32)</f>
        <v>20</v>
      </c>
      <c r="T32" s="221" t="n">
        <f aca="false">IF(ISERROR(Q32*J32),0,Q32*J32)</f>
        <v>2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CAL.PLA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326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83</v>
      </c>
      <c r="B33" s="213" t="n">
        <v>0.29</v>
      </c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trichophyllus</v>
      </c>
      <c r="E33" s="215" t="e">
        <f aca="false">IF(D33="",0,VLOOKUP(D33,D$22:D32,1,0))</f>
        <v>#N/A</v>
      </c>
      <c r="F33" s="216" t="n">
        <f aca="false">($B33*$B$7+$C33*$C$7)/100</f>
        <v>0.145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8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11</v>
      </c>
      <c r="J33" s="202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trichophyllus</v>
      </c>
      <c r="L33" s="223"/>
      <c r="M33" s="223"/>
      <c r="N33" s="223"/>
      <c r="O33" s="224"/>
      <c r="P33" s="206" t="n">
        <f aca="false">IF(ISTEXT(H33),"",(B33*$B$7/100)+(C33*$C$7/100))</f>
        <v>0.145</v>
      </c>
      <c r="Q33" s="207" t="n">
        <f aca="false">IF(OR(ISTEXT(H33),P33=0),"",IF(P33&lt;0.1,1,IF(P33&lt;1,2,IF(P33&lt;10,3,IF(P33&lt;50,4,IF(P33&gt;=50,5,""))))))</f>
        <v>2</v>
      </c>
      <c r="R33" s="207" t="n">
        <f aca="false">IF(ISERROR(Q33*I33),0,Q33*I33)</f>
        <v>22</v>
      </c>
      <c r="S33" s="207" t="n">
        <f aca="false">IF(ISERROR(Q33*I33*J33),0,Q33*I33*J33)</f>
        <v>44</v>
      </c>
      <c r="T33" s="221" t="n">
        <f aca="false">IF(ISERROR(Q33*J33),0,Q33*J33)</f>
        <v>4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RAN.TRI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472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 t="s">
        <v>84</v>
      </c>
      <c r="B34" s="213" t="n">
        <v>0.01</v>
      </c>
      <c r="C34" s="214" t="n">
        <v>0.43</v>
      </c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Lemna minor</v>
      </c>
      <c r="E34" s="215" t="e">
        <f aca="false">IF(D34="",0,VLOOKUP(D34,D$22:D33,1,0))</f>
        <v>#N/A</v>
      </c>
      <c r="F34" s="225" t="n">
        <f aca="false">($B34*$B$7+$C34*$C$7)/100</f>
        <v>0.22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200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8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2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Lemna minor</v>
      </c>
      <c r="L34" s="223"/>
      <c r="M34" s="223"/>
      <c r="N34" s="223"/>
      <c r="O34" s="224"/>
      <c r="P34" s="206" t="n">
        <f aca="false">IF(ISTEXT(H34),"",(B34*$B$7/100)+(C34*$C$7/100))</f>
        <v>0.22</v>
      </c>
      <c r="Q34" s="207" t="n">
        <f aca="false">IF(OR(ISTEXT(H34),P34=0),"",IF(P34&lt;0.1,1,IF(P34&lt;1,2,IF(P34&lt;10,3,IF(P34&lt;50,4,IF(P34&gt;=50,5,""))))))</f>
        <v>2</v>
      </c>
      <c r="R34" s="207" t="n">
        <f aca="false">IF(ISERROR(Q34*I34),0,Q34*I34)</f>
        <v>20</v>
      </c>
      <c r="S34" s="207" t="n">
        <f aca="false">IF(ISERROR(Q34*I34*J34),0,Q34*I34*J34)</f>
        <v>20</v>
      </c>
      <c r="T34" s="221" t="n">
        <f aca="false">IF(ISERROR(Q34*J34),0,Q34*J34)</f>
        <v>2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>LEM.MIN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361</v>
      </c>
      <c r="Z34" s="210"/>
      <c r="AA34" s="211"/>
      <c r="BB34" s="8" t="n">
        <f aca="false">IF(A34="","",1)</f>
        <v>1</v>
      </c>
    </row>
    <row r="35" customFormat="false" ht="12.75" hidden="false" customHeight="false" outlineLevel="0" collapsed="false">
      <c r="A35" s="212" t="s">
        <v>85</v>
      </c>
      <c r="B35" s="213"/>
      <c r="C35" s="214" t="n">
        <v>0.01</v>
      </c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Scirpus sylvaticus</v>
      </c>
      <c r="E35" s="215" t="e">
        <f aca="false">IF(D35="",0,VLOOKUP(D35,D$22:D34,1,0))</f>
        <v>#N/A</v>
      </c>
      <c r="F35" s="225" t="n">
        <f aca="false">($B35*$B$7+$C35*$C$7)/100</f>
        <v>0.005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200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8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10</v>
      </c>
      <c r="J35" s="202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2</v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Scirpus sylvaticus</v>
      </c>
      <c r="L35" s="220"/>
      <c r="M35" s="220"/>
      <c r="N35" s="220"/>
      <c r="O35" s="205"/>
      <c r="P35" s="206" t="n">
        <f aca="false">IF(ISTEXT(H35),"",(B35*$B$7/100)+(C35*$C$7/100))</f>
        <v>0.005</v>
      </c>
      <c r="Q35" s="207" t="n">
        <f aca="false">IF(OR(ISTEXT(H35),P35=0),"",IF(P35&lt;0.1,1,IF(P35&lt;1,2,IF(P35&lt;10,3,IF(P35&lt;50,4,IF(P35&gt;=50,5,""))))))</f>
        <v>1</v>
      </c>
      <c r="R35" s="207" t="n">
        <f aca="false">IF(ISERROR(Q35*I35),0,Q35*I35)</f>
        <v>10</v>
      </c>
      <c r="S35" s="207" t="n">
        <f aca="false">IF(ISERROR(Q35*I35*J35),0,Q35*I35*J35)</f>
        <v>20</v>
      </c>
      <c r="T35" s="221" t="n">
        <f aca="false">IF(ISERROR(Q35*J35),0,Q35*J35)</f>
        <v>2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>SCI.SYL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671</v>
      </c>
      <c r="Z35" s="210"/>
      <c r="AA35" s="211"/>
      <c r="BB35" s="8" t="n">
        <f aca="false">IF(A35="","",1)</f>
        <v>1</v>
      </c>
    </row>
    <row r="36" customFormat="false" ht="12.75" hidden="false" customHeight="false" outlineLevel="0" collapsed="false">
      <c r="A36" s="212" t="s">
        <v>86</v>
      </c>
      <c r="B36" s="213" t="n">
        <v>0.01</v>
      </c>
      <c r="C36" s="214" t="n">
        <v>0.06</v>
      </c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Glyceria fluitans</v>
      </c>
      <c r="E36" s="215" t="e">
        <f aca="false">IF(D36="",0,VLOOKUP(D36,D$22:D35,1,0))</f>
        <v>#N/A</v>
      </c>
      <c r="F36" s="225" t="n">
        <f aca="false">($B36*$B$7+$C36*$C$7)/100</f>
        <v>0.035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200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8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14</v>
      </c>
      <c r="J36" s="202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2</v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Glyceria fluitans</v>
      </c>
      <c r="L36" s="220"/>
      <c r="M36" s="220"/>
      <c r="N36" s="220"/>
      <c r="O36" s="205"/>
      <c r="P36" s="206" t="n">
        <f aca="false">IF(ISTEXT(H36),"",(B36*$B$7/100)+(C36*$C$7/100))</f>
        <v>0.035</v>
      </c>
      <c r="Q36" s="207" t="n">
        <f aca="false">IF(OR(ISTEXT(H36),P36=0),"",IF(P36&lt;0.1,1,IF(P36&lt;1,2,IF(P36&lt;10,3,IF(P36&lt;50,4,IF(P36&gt;=50,5,""))))))</f>
        <v>1</v>
      </c>
      <c r="R36" s="207" t="n">
        <f aca="false">IF(ISERROR(Q36*I36),0,Q36*I36)</f>
        <v>14</v>
      </c>
      <c r="S36" s="207" t="n">
        <f aca="false">IF(ISERROR(Q36*I36*J36),0,Q36*I36*J36)</f>
        <v>28</v>
      </c>
      <c r="T36" s="221" t="n">
        <f aca="false">IF(ISERROR(Q36*J36),0,Q36*J36)</f>
        <v>2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>GLY.FLU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580</v>
      </c>
      <c r="Z36" s="210"/>
      <c r="AA36" s="211"/>
      <c r="BB36" s="8" t="n">
        <f aca="false">IF(A36="","",1)</f>
        <v>1</v>
      </c>
    </row>
    <row r="37" customFormat="false" ht="12.75" hidden="false" customHeight="false" outlineLevel="0" collapsed="false">
      <c r="A37" s="212" t="s">
        <v>87</v>
      </c>
      <c r="B37" s="213"/>
      <c r="C37" s="214" t="n">
        <v>0.01</v>
      </c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Sparganium erectum</v>
      </c>
      <c r="E37" s="215" t="e">
        <f aca="false">IF(D37="",0,VLOOKUP(D37,D$22:D36,1,0))</f>
        <v>#N/A</v>
      </c>
      <c r="F37" s="225" t="n">
        <f aca="false">($B37*$B$7+$C37*$C$7)/100</f>
        <v>0.005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PHe</v>
      </c>
      <c r="H37" s="200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8</v>
      </c>
      <c r="I37" s="218" t="n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>10</v>
      </c>
      <c r="J37" s="202" t="n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>1</v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Sparganium erectum</v>
      </c>
      <c r="L37" s="220"/>
      <c r="M37" s="220"/>
      <c r="N37" s="220"/>
      <c r="O37" s="205"/>
      <c r="P37" s="206" t="n">
        <f aca="false">IF(ISTEXT(H37),"",(B37*$B$7/100)+(C37*$C$7/100))</f>
        <v>0.005</v>
      </c>
      <c r="Q37" s="207" t="n">
        <f aca="false">IF(OR(ISTEXT(H37),P37=0),"",IF(P37&lt;0.1,1,IF(P37&lt;1,2,IF(P37&lt;10,3,IF(P37&lt;50,4,IF(P37&gt;=50,5,""))))))</f>
        <v>1</v>
      </c>
      <c r="R37" s="207" t="n">
        <f aca="false">IF(ISERROR(Q37*I37),0,Q37*I37)</f>
        <v>10</v>
      </c>
      <c r="S37" s="207" t="n">
        <f aca="false">IF(ISERROR(Q37*I37*J37),0,Q37*I37*J37)</f>
        <v>10</v>
      </c>
      <c r="T37" s="221" t="n">
        <f aca="false">IF(ISERROR(Q37*J37),0,Q37*J37)</f>
        <v>1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>SPA.ERE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675</v>
      </c>
      <c r="Z37" s="210"/>
      <c r="AA37" s="211"/>
      <c r="BB37" s="8" t="n">
        <f aca="false">IF(A37="","",1)</f>
        <v>1</v>
      </c>
    </row>
    <row r="38" customFormat="false" ht="12.75" hidden="false" customHeight="false" outlineLevel="0" collapsed="false">
      <c r="A38" s="212" t="s">
        <v>88</v>
      </c>
      <c r="B38" s="213" t="n">
        <v>0.01</v>
      </c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>Hildenbrandia rivularis</v>
      </c>
      <c r="E38" s="215" t="e">
        <f aca="false">IF(D38="",0,VLOOKUP(D38,D$22:D37,1,0))</f>
        <v>#N/A</v>
      </c>
      <c r="F38" s="225" t="n">
        <f aca="false">($B38*$B$7+$C38*$C$7)/100</f>
        <v>0.005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ALG</v>
      </c>
      <c r="H38" s="200" t="n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2</v>
      </c>
      <c r="I38" s="218" t="n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>15</v>
      </c>
      <c r="J38" s="202" t="n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>2</v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>Hildenbrandia rivularis</v>
      </c>
      <c r="L38" s="220"/>
      <c r="M38" s="220"/>
      <c r="N38" s="220"/>
      <c r="O38" s="205"/>
      <c r="P38" s="206" t="n">
        <f aca="false">IF(ISTEXT(H38),"",(B38*$B$7/100)+(C38*$C$7/100))</f>
        <v>0.005</v>
      </c>
      <c r="Q38" s="207" t="n">
        <f aca="false">IF(OR(ISTEXT(H38),P38=0),"",IF(P38&lt;0.1,1,IF(P38&lt;1,2,IF(P38&lt;10,3,IF(P38&lt;50,4,IF(P38&gt;=50,5,""))))))</f>
        <v>1</v>
      </c>
      <c r="R38" s="207" t="n">
        <f aca="false">IF(ISERROR(Q38*I38),0,Q38*I38)</f>
        <v>15</v>
      </c>
      <c r="S38" s="207" t="n">
        <f aca="false">IF(ISERROR(Q38*I38*J38),0,Q38*I38*J38)</f>
        <v>30</v>
      </c>
      <c r="T38" s="221" t="n">
        <f aca="false">IF(ISERROR(Q38*J38),0,Q38*J38)</f>
        <v>2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>HIL.SPX</v>
      </c>
      <c r="Y38" s="8" t="n">
        <f aca="false">IF(ISERROR(MATCH(A38,'[1]liste reference'!$A$7:$A$906,0)),IF(ISERROR(MATCH(A38,'[1]liste reference'!$B$7:$B$906,0)),"",(MATCH(A38,'[1]liste reference'!$B$7:$B$906,0))),(MATCH(A38,'[1]liste reference'!$A$7:$A$906,0)))</f>
        <v>31</v>
      </c>
      <c r="Z38" s="210"/>
      <c r="AA38" s="211"/>
      <c r="BB38" s="8" t="n">
        <f aca="false">IF(A38="","",1)</f>
        <v>1</v>
      </c>
    </row>
    <row r="39" customFormat="false" ht="12.75" hidden="false" customHeight="false" outlineLevel="0" collapsed="false">
      <c r="A39" s="212" t="s">
        <v>89</v>
      </c>
      <c r="B39" s="213" t="n">
        <v>1.06</v>
      </c>
      <c r="C39" s="214" t="n">
        <v>0.01</v>
      </c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>Fontinalis antipyretica</v>
      </c>
      <c r="E39" s="215" t="e">
        <f aca="false">IF(D39="",0,VLOOKUP(D39,D$22:D38,1,0))</f>
        <v>#N/A</v>
      </c>
      <c r="F39" s="225" t="n">
        <f aca="false">($B39*$B$7+$C39*$C$7)/100</f>
        <v>0.535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>BRm</v>
      </c>
      <c r="H39" s="200" t="n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5</v>
      </c>
      <c r="I39" s="218" t="n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>10</v>
      </c>
      <c r="J39" s="202" t="n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>1</v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>Fontinalis antipyretica</v>
      </c>
      <c r="L39" s="220"/>
      <c r="M39" s="220"/>
      <c r="N39" s="220"/>
      <c r="O39" s="205"/>
      <c r="P39" s="206" t="n">
        <f aca="false">IF(ISTEXT(H39),"",(B39*$B$7/100)+(C39*$C$7/100))</f>
        <v>0.535</v>
      </c>
      <c r="Q39" s="207" t="n">
        <f aca="false">IF(OR(ISTEXT(H39),P39=0),"",IF(P39&lt;0.1,1,IF(P39&lt;1,2,IF(P39&lt;10,3,IF(P39&lt;50,4,IF(P39&gt;=50,5,""))))))</f>
        <v>2</v>
      </c>
      <c r="R39" s="207" t="n">
        <f aca="false">IF(ISERROR(Q39*I39),0,Q39*I39)</f>
        <v>20</v>
      </c>
      <c r="S39" s="207" t="n">
        <f aca="false">IF(ISERROR(Q39*I39*J39),0,Q39*I39*J39)</f>
        <v>20</v>
      </c>
      <c r="T39" s="221" t="n">
        <f aca="false">IF(ISERROR(Q39*J39),0,Q39*J39)</f>
        <v>2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>FON.ANT</v>
      </c>
      <c r="Y39" s="8" t="n">
        <f aca="false">IF(ISERROR(MATCH(A39,'[1]liste reference'!$A$7:$A$906,0)),IF(ISERROR(MATCH(A39,'[1]liste reference'!$B$7:$B$906,0)),"",(MATCH(A39,'[1]liste reference'!$B$7:$B$906,0))),(MATCH(A39,'[1]liste reference'!$A$7:$A$906,0)))</f>
        <v>211</v>
      </c>
      <c r="Z39" s="210"/>
      <c r="AA39" s="211"/>
      <c r="BB39" s="8" t="n">
        <f aca="false">IF(A39="","",1)</f>
        <v>1</v>
      </c>
    </row>
    <row r="40" customFormat="false" ht="12.75" hidden="false" customHeight="false" outlineLevel="0" collapsed="false">
      <c r="A40" s="212" t="s">
        <v>90</v>
      </c>
      <c r="B40" s="213" t="n">
        <v>0.01</v>
      </c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>Potamogeton crispus</v>
      </c>
      <c r="E40" s="215" t="e">
        <f aca="false">IF(D40="",0,VLOOKUP(D40,D$22:D39,1,0))</f>
        <v>#N/A</v>
      </c>
      <c r="F40" s="225" t="n">
        <f aca="false">($B40*$B$7+$C40*$C$7)/100</f>
        <v>0.005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>PHy</v>
      </c>
      <c r="H40" s="200" t="n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7</v>
      </c>
      <c r="I40" s="218" t="n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>7</v>
      </c>
      <c r="J40" s="202" t="n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>2</v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>Potamogeton crispus</v>
      </c>
      <c r="L40" s="220"/>
      <c r="M40" s="220"/>
      <c r="N40" s="220"/>
      <c r="O40" s="205"/>
      <c r="P40" s="206" t="n">
        <f aca="false">IF(ISTEXT(H40),"",(B40*$B$7/100)+(C40*$C$7/100))</f>
        <v>0.005</v>
      </c>
      <c r="Q40" s="207" t="n">
        <f aca="false">IF(OR(ISTEXT(H40),P40=0),"",IF(P40&lt;0.1,1,IF(P40&lt;1,2,IF(P40&lt;10,3,IF(P40&lt;50,4,IF(P40&gt;=50,5,""))))))</f>
        <v>1</v>
      </c>
      <c r="R40" s="207" t="n">
        <f aca="false">IF(ISERROR(Q40*I40),0,Q40*I40)</f>
        <v>7</v>
      </c>
      <c r="S40" s="207" t="n">
        <f aca="false">IF(ISERROR(Q40*I40*J40),0,Q40*I40*J40)</f>
        <v>14</v>
      </c>
      <c r="T40" s="221" t="n">
        <f aca="false">IF(ISERROR(Q40*J40),0,Q40*J40)</f>
        <v>2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>POT.CRI</v>
      </c>
      <c r="Y40" s="8" t="n">
        <f aca="false">IF(ISERROR(MATCH(A40,'[1]liste reference'!$A$7:$A$906,0)),IF(ISERROR(MATCH(A40,'[1]liste reference'!$B$7:$B$906,0)),"",(MATCH(A40,'[1]liste reference'!$B$7:$B$906,0))),(MATCH(A40,'[1]liste reference'!$A$7:$A$906,0)))</f>
        <v>413</v>
      </c>
      <c r="Z40" s="210"/>
      <c r="AA40" s="211"/>
      <c r="BB40" s="8" t="n">
        <f aca="false">IF(A40="","",1)</f>
        <v>1</v>
      </c>
    </row>
    <row r="41" customFormat="false" ht="12.75" hidden="false" customHeight="false" outlineLevel="0" collapsed="false">
      <c r="A41" s="212" t="s">
        <v>91</v>
      </c>
      <c r="B41" s="213" t="n">
        <v>0.01</v>
      </c>
      <c r="C41" s="214" t="n">
        <v>0.01</v>
      </c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>Amblystegium riparium (Leptodictyum riparium)</v>
      </c>
      <c r="E41" s="215" t="e">
        <f aca="false">IF(D41="",0,VLOOKUP(D41,D$22:D40,1,0))</f>
        <v>#N/A</v>
      </c>
      <c r="F41" s="225" t="n">
        <f aca="false">($B41*$B$7+$C41*$C$7)/100</f>
        <v>0.01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>BRm</v>
      </c>
      <c r="H41" s="200" t="n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5</v>
      </c>
      <c r="I41" s="218" t="n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>5</v>
      </c>
      <c r="J41" s="202" t="n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>2</v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>Amblystegium riparium (Leptodictyum riparium)</v>
      </c>
      <c r="L41" s="220"/>
      <c r="M41" s="220"/>
      <c r="N41" s="220"/>
      <c r="O41" s="205"/>
      <c r="P41" s="206" t="n">
        <f aca="false">IF(ISTEXT(H41),"",(B41*$B$7/100)+(C41*$C$7/100))</f>
        <v>0.01</v>
      </c>
      <c r="Q41" s="207" t="n">
        <f aca="false">IF(OR(ISTEXT(H41),P41=0),"",IF(P41&lt;0.1,1,IF(P41&lt;1,2,IF(P41&lt;10,3,IF(P41&lt;50,4,IF(P41&gt;=50,5,""))))))</f>
        <v>1</v>
      </c>
      <c r="R41" s="207" t="n">
        <f aca="false">IF(ISERROR(Q41*I41),0,Q41*I41)</f>
        <v>5</v>
      </c>
      <c r="S41" s="207" t="n">
        <f aca="false">IF(ISERROR(Q41*I41*J41),0,Q41*I41*J41)</f>
        <v>10</v>
      </c>
      <c r="T41" s="221" t="n">
        <f aca="false">IF(ISERROR(Q41*J41),0,Q41*J41)</f>
        <v>2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>AMB.RIP</v>
      </c>
      <c r="Y41" s="8" t="n">
        <f aca="false">IF(ISERROR(MATCH(A41,'[1]liste reference'!$A$7:$A$906,0)),IF(ISERROR(MATCH(A41,'[1]liste reference'!$B$7:$B$906,0)),"",(MATCH(A41,'[1]liste reference'!$B$7:$B$906,0))),(MATCH(A41,'[1]liste reference'!$A$7:$A$906,0)))</f>
        <v>149</v>
      </c>
      <c r="Z41" s="210"/>
      <c r="AA41" s="211"/>
      <c r="BB41" s="8" t="n">
        <f aca="false">IF(A41="","",1)</f>
        <v>1</v>
      </c>
    </row>
    <row r="42" customFormat="false" ht="12.75" hidden="false" customHeight="false" outlineLevel="0" collapsed="false">
      <c r="A42" s="212" t="s">
        <v>92</v>
      </c>
      <c r="B42" s="213" t="n">
        <v>0.06</v>
      </c>
      <c r="C42" s="214" t="n">
        <v>0.01</v>
      </c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>Phalaris arundinacea</v>
      </c>
      <c r="E42" s="215" t="e">
        <f aca="false">IF(D42="",0,VLOOKUP(D42,D$22:D41,1,0))</f>
        <v>#N/A</v>
      </c>
      <c r="F42" s="225" t="n">
        <f aca="false">($B42*$B$7+$C42*$C$7)/100</f>
        <v>0.035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>PHe</v>
      </c>
      <c r="H42" s="200" t="n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8</v>
      </c>
      <c r="I42" s="218" t="n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>10</v>
      </c>
      <c r="J42" s="202" t="n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>1</v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>Phalaris arundinacea</v>
      </c>
      <c r="L42" s="220"/>
      <c r="M42" s="220"/>
      <c r="N42" s="220"/>
      <c r="O42" s="205"/>
      <c r="P42" s="206" t="n">
        <f aca="false">IF(ISTEXT(H42),"",(B42*$B$7/100)+(C42*$C$7/100))</f>
        <v>0.035</v>
      </c>
      <c r="Q42" s="207" t="n">
        <f aca="false">IF(OR(ISTEXT(H42),P42=0),"",IF(P42&lt;0.1,1,IF(P42&lt;1,2,IF(P42&lt;10,3,IF(P42&lt;50,4,IF(P42&gt;=50,5,""))))))</f>
        <v>1</v>
      </c>
      <c r="R42" s="207" t="n">
        <f aca="false">IF(ISERROR(Q42*I42),0,Q42*I42)</f>
        <v>10</v>
      </c>
      <c r="S42" s="207" t="n">
        <f aca="false">IF(ISERROR(Q42*I42*J42),0,Q42*I42*J42)</f>
        <v>10</v>
      </c>
      <c r="T42" s="221" t="n">
        <f aca="false">IF(ISERROR(Q42*J42),0,Q42*J42)</f>
        <v>1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>PHA.ARU</v>
      </c>
      <c r="Y42" s="8" t="n">
        <f aca="false">IF(ISERROR(MATCH(A42,'[1]liste reference'!$A$7:$A$906,0)),IF(ISERROR(MATCH(A42,'[1]liste reference'!$B$7:$B$906,0)),"",(MATCH(A42,'[1]liste reference'!$B$7:$B$906,0))),(MATCH(A42,'[1]liste reference'!$A$7:$A$906,0)))</f>
        <v>640</v>
      </c>
      <c r="Z42" s="210"/>
      <c r="AA42" s="211"/>
      <c r="BB42" s="8" t="n">
        <f aca="false">IF(A42="","",1)</f>
        <v>1</v>
      </c>
    </row>
    <row r="43" customFormat="false" ht="12.75" hidden="false" customHeight="false" outlineLevel="0" collapsed="false">
      <c r="A43" s="212" t="s">
        <v>93</v>
      </c>
      <c r="B43" s="213" t="n">
        <v>0.01</v>
      </c>
      <c r="C43" s="214" t="n">
        <v>0.01</v>
      </c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>Ranunculus repens</v>
      </c>
      <c r="E43" s="215" t="e">
        <f aca="false">IF(D43="",0,VLOOKUP(D43,D$22:D42,1,0))</f>
        <v>#N/A</v>
      </c>
      <c r="F43" s="225" t="n">
        <f aca="false">($B43*$B$7+$C43*$C$7)/100</f>
        <v>0.01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>PHg</v>
      </c>
      <c r="H43" s="200" t="n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9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>Ranunculus repens</v>
      </c>
      <c r="L43" s="220"/>
      <c r="M43" s="220"/>
      <c r="N43" s="220"/>
      <c r="O43" s="205"/>
      <c r="P43" s="206" t="n">
        <f aca="false">IF(ISTEXT(H43),"",(B43*$B$7/100)+(C43*$C$7/100))</f>
        <v>0.01</v>
      </c>
      <c r="Q43" s="207" t="n">
        <f aca="false">IF(OR(ISTEXT(H43),P43=0),"",IF(P43&lt;0.1,1,IF(P43&lt;1,2,IF(P43&lt;10,3,IF(P43&lt;50,4,IF(P43&gt;=50,5,""))))))</f>
        <v>1</v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>RAN.REP</v>
      </c>
      <c r="Y43" s="8" t="n">
        <f aca="false">IF(ISERROR(MATCH(A43,'[1]liste reference'!$A$7:$A$906,0)),IF(ISERROR(MATCH(A43,'[1]liste reference'!$B$7:$B$906,0)),"",(MATCH(A43,'[1]liste reference'!$B$7:$B$906,0))),(MATCH(A43,'[1]liste reference'!$A$7:$A$906,0)))</f>
        <v>810</v>
      </c>
      <c r="Z43" s="210"/>
      <c r="AA43" s="211"/>
      <c r="BB43" s="8" t="n">
        <f aca="false">IF(A43="","",1)</f>
        <v>1</v>
      </c>
    </row>
    <row r="44" customFormat="false" ht="12.75" hidden="false" customHeight="false" outlineLevel="0" collapsed="false">
      <c r="A44" s="212" t="s">
        <v>94</v>
      </c>
      <c r="B44" s="213" t="n">
        <v>0.01</v>
      </c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>Lycopus europaeus</v>
      </c>
      <c r="E44" s="215" t="e">
        <f aca="false">IF(D44="",0,VLOOKUP(D44,D$22:D43,1,0))</f>
        <v>#N/A</v>
      </c>
      <c r="F44" s="225" t="n">
        <f aca="false">($B44*$B$7+$C44*$C$7)/100</f>
        <v>0.005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>PHe</v>
      </c>
      <c r="H44" s="200" t="n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8</v>
      </c>
      <c r="I44" s="218" t="n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>11</v>
      </c>
      <c r="J44" s="202" t="n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>1</v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>Lycopus europaeus</v>
      </c>
      <c r="L44" s="220"/>
      <c r="M44" s="220"/>
      <c r="N44" s="220"/>
      <c r="O44" s="205"/>
      <c r="P44" s="206" t="n">
        <f aca="false">IF(ISTEXT(H44),"",(B44*$B$7/100)+(C44*$C$7/100))</f>
        <v>0.005</v>
      </c>
      <c r="Q44" s="207" t="n">
        <f aca="false">IF(OR(ISTEXT(H44),P44=0),"",IF(P44&lt;0.1,1,IF(P44&lt;1,2,IF(P44&lt;10,3,IF(P44&lt;50,4,IF(P44&gt;=50,5,""))))))</f>
        <v>1</v>
      </c>
      <c r="R44" s="207" t="n">
        <f aca="false">IF(ISERROR(Q44*I44),0,Q44*I44)</f>
        <v>11</v>
      </c>
      <c r="S44" s="207" t="n">
        <f aca="false">IF(ISERROR(Q44*I44*J44),0,Q44*I44*J44)</f>
        <v>11</v>
      </c>
      <c r="T44" s="221" t="n">
        <f aca="false">IF(ISERROR(Q44*J44),0,Q44*J44)</f>
        <v>1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>LYC.EUR</v>
      </c>
      <c r="Y44" s="8" t="n">
        <f aca="false">IF(ISERROR(MATCH(A44,'[1]liste reference'!$A$7:$A$906,0)),IF(ISERROR(MATCH(A44,'[1]liste reference'!$B$7:$B$906,0)),"",(MATCH(A44,'[1]liste reference'!$B$7:$B$906,0))),(MATCH(A44,'[1]liste reference'!$A$7:$A$906,0)))</f>
        <v>602</v>
      </c>
      <c r="Z44" s="210"/>
      <c r="AA44" s="211"/>
      <c r="BB44" s="8" t="n">
        <f aca="false">IF(A44="","",1)</f>
        <v>1</v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95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Authre</v>
      </c>
      <c r="B84" s="246" t="str">
        <f aca="false">C3</f>
        <v>Jussac</v>
      </c>
      <c r="C84" s="247" t="n">
        <f aca="false">A4</f>
        <v>40411</v>
      </c>
      <c r="D84" s="248" t="n">
        <f aca="false">IF(ISERROR(SUM($S$23:$S$82)/SUM($T$23:$T$82)),"",SUM($S$23:$S$82)/SUM($T$23:$T$82))</f>
        <v>9.84444444444445</v>
      </c>
      <c r="E84" s="249" t="n">
        <f aca="false">N13</f>
        <v>22</v>
      </c>
      <c r="F84" s="246" t="n">
        <f aca="false">N14</f>
        <v>21</v>
      </c>
      <c r="G84" s="246" t="n">
        <f aca="false">N15</f>
        <v>10</v>
      </c>
      <c r="H84" s="246" t="n">
        <f aca="false">N16</f>
        <v>11</v>
      </c>
      <c r="I84" s="246" t="n">
        <f aca="false">N17</f>
        <v>0</v>
      </c>
      <c r="J84" s="250" t="n">
        <f aca="false">N8</f>
        <v>10.1428571428571</v>
      </c>
      <c r="K84" s="248" t="n">
        <f aca="false">N9</f>
        <v>3.08683841957616</v>
      </c>
      <c r="L84" s="249" t="n">
        <f aca="false">N10</f>
        <v>4</v>
      </c>
      <c r="M84" s="249" t="n">
        <f aca="false">N11</f>
        <v>15</v>
      </c>
      <c r="N84" s="248" t="n">
        <f aca="false">O8</f>
        <v>1.52380952380952</v>
      </c>
      <c r="O84" s="248" t="n">
        <f aca="false">O9</f>
        <v>0.511766315719159</v>
      </c>
      <c r="P84" s="249" t="n">
        <f aca="false">O10</f>
        <v>1</v>
      </c>
      <c r="Q84" s="249" t="n">
        <f aca="false">O11</f>
        <v>2</v>
      </c>
      <c r="R84" s="251" t="n">
        <f aca="false">F21</f>
        <v>5.24</v>
      </c>
      <c r="S84" s="249" t="n">
        <f aca="false">K11</f>
        <v>0</v>
      </c>
      <c r="T84" s="249" t="n">
        <f aca="false">K12</f>
        <v>7</v>
      </c>
      <c r="U84" s="249" t="n">
        <f aca="false">K13</f>
        <v>2</v>
      </c>
      <c r="V84" s="252" t="n">
        <f aca="false">K14</f>
        <v>0</v>
      </c>
      <c r="W84" s="253" t="n">
        <f aca="false">K15</f>
        <v>13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96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97</v>
      </c>
      <c r="Q87" s="8"/>
      <c r="R87" s="208" t="n">
        <f aca="false">VLOOKUP(MAX($R$23:$R$82),($R$23:$T$82),1,0)</f>
        <v>30</v>
      </c>
      <c r="S87" s="8"/>
      <c r="T87" s="8"/>
      <c r="U87" s="8"/>
    </row>
    <row r="88" customFormat="false" ht="12.75" hidden="true" customHeight="false" outlineLevel="0" collapsed="false">
      <c r="P88" s="8" t="s">
        <v>98</v>
      </c>
      <c r="Q88" s="8"/>
      <c r="R88" s="208" t="n">
        <f aca="false">VLOOKUP((R87),($R$23:$T$82),2,0)</f>
        <v>60</v>
      </c>
      <c r="S88" s="8"/>
      <c r="T88" s="8"/>
      <c r="U88" s="8"/>
    </row>
    <row r="89" customFormat="false" ht="12.75" hidden="true" customHeight="false" outlineLevel="0" collapsed="false">
      <c r="P89" s="8" t="s">
        <v>99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100</v>
      </c>
      <c r="Q90" s="8"/>
      <c r="R90" s="255" t="n">
        <f aca="false">IF(ISERROR(SUM($S$23:$S$82)/SUM($T$23:$T$82)),"",(SUM($S$23:$S$82)-R88)/(SUM($T$23:$T$82)-R89))</f>
        <v>9.82051282051282</v>
      </c>
      <c r="S90" s="8"/>
    </row>
    <row r="91" customFormat="false" ht="12.75" hidden="true" customHeight="false" outlineLevel="0" collapsed="false">
      <c r="P91" s="207" t="s">
        <v>101</v>
      </c>
      <c r="Q91" s="207"/>
      <c r="R91" s="207" t="str">
        <f aca="false">INDEX('[1]liste reference'!$A$7:$A$906,$S$91)</f>
        <v>ELO.CAN</v>
      </c>
      <c r="S91" s="8" t="n">
        <f aca="false">IF(ISERROR(MATCH($R$93,'[1]liste reference'!$A$7:$A$906,0)),MATCH($R$93,'[1]liste reference'!$B$7:$B$906,0),(MATCH($R$93,'[1]liste reference'!$A$7:$A$906,0)))</f>
        <v>344</v>
      </c>
      <c r="T91" s="244"/>
    </row>
    <row r="92" customFormat="false" ht="12.75" hidden="true" customHeight="false" outlineLevel="0" collapsed="false">
      <c r="P92" s="8" t="s">
        <v>102</v>
      </c>
      <c r="Q92" s="8"/>
      <c r="R92" s="8" t="n">
        <f aca="false">MATCH(R87,$R$23:$R$82,0)</f>
        <v>9</v>
      </c>
      <c r="S92" s="8"/>
    </row>
    <row r="93" customFormat="false" ht="12.75" hidden="true" customHeight="false" outlineLevel="0" collapsed="false">
      <c r="P93" s="207" t="s">
        <v>103</v>
      </c>
      <c r="Q93" s="8"/>
      <c r="R93" s="207" t="str">
        <f aca="false">INDEX($A$23:$A$82,$R$92)</f>
        <v>ELO.CAN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2024-03-13T19:03:40Z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