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9" sheetId="1" state="visible" r:id="rId3"/>
  </sheets>
  <externalReferences>
    <externalReference r:id="rId4"/>
  </externalReferences>
  <definedNames>
    <definedName function="false" hidden="false" localSheetId="0" name="_xlnm.Print_Area" vbProcedure="false">'9'!$A$1:$O$45</definedName>
    <definedName function="false" hidden="false" localSheetId="0" name="Excel_BuiltIn__FilterDatabase" vbProcedure="false">'9'!$A$23:$J$84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<sst xmlns="http://schemas.openxmlformats.org/spreadsheetml/2006/main" count="109" uniqueCount="104">
  <si>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</si>
  <si>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GIS Macrophytes - juillet 2006</t>
  </si>
  <si>
    <t xml:space="preserve">CARICAIE</t>
  </si>
  <si>
    <t xml:space="preserve">conforme AFNOR T90-395 oct. 2003</t>
  </si>
  <si>
    <t xml:space="preserve">AUTHRE</t>
  </si>
  <si>
    <t xml:space="preserve">JUSSAC</t>
  </si>
  <si>
    <t xml:space="preserve">05063950</t>
  </si>
  <si>
    <t xml:space="preserve">Aff. 11.42</t>
  </si>
  <si>
    <t xml:space="preserve">Résultats</t>
  </si>
  <si>
    <t xml:space="preserve">Robustesse:</t>
  </si>
  <si>
    <t xml:space="preserve">F. courant</t>
  </si>
  <si>
    <t xml:space="preserve">F. lent</t>
  </si>
  <si>
    <t xml:space="preserve">station</t>
  </si>
  <si>
    <t xml:space="preserve">IBMR:</t>
  </si>
  <si>
    <t xml:space="preserve">ELO.CAN</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</si>
  <si>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</si>
  <si>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</si>
  <si>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</si>
  <si>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</si>
  <si>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</si>
  <si>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</si>
  <si>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</si>
  <si>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</si>
  <si>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</si>
  <si>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</si>
  <si>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</si>
  <si>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</si>
  <si>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</si>
  <si>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</si>
  <si>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</si>
  <si>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</si>
  <si>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</si>
  <si>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</si>
  <si>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</si>
  <si>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</si>
  <si>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</si>
  <si>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</si>
  <si>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</si>
  <si>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</si>
  <si>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</si>
  <si>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</si>
  <si>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</si>
  <si>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</si>
  <si>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</si>
  <si>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</si>
  <si>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</si>
  <si>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</si>
  <si>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</si>
  <si>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</si>
  <si>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</si>
  <si>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</si>
  <si>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</si>
  <si>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</si>
  <si>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</si>
  <si>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</si>
  <si>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</si>
  <si>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</si>
  <si>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</si>
  <si>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</si>
  <si>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</si>
  <si>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</si>
  <si>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</si>
  <si>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</si>
  <si>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</si>
  <si>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</si>
  <si>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</si>
  <si>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</si>
  <si>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</si>
  <si>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</si>
  <si>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</si>
  <si>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</si>
  <si>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</si>
  <si>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</si>
  <si>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</si>
  <si>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HIL.SPX</t>
  </si>
  <si>
    <t xml:space="preserve">LEA.SPX</t>
  </si>
  <si>
    <t xml:space="preserve">MEL.SPX</t>
  </si>
  <si>
    <t xml:space="preserve">RHI.SPX</t>
  </si>
  <si>
    <t xml:space="preserve">VAU.SPX</t>
  </si>
  <si>
    <t xml:space="preserve">AMB.RIP</t>
  </si>
  <si>
    <t xml:space="preserve">CIN.FON</t>
  </si>
  <si>
    <t xml:space="preserve">FON.ANT</t>
  </si>
  <si>
    <t xml:space="preserve">RHY.RIP</t>
  </si>
  <si>
    <t xml:space="preserve">CAL.HAM</t>
  </si>
  <si>
    <t xml:space="preserve">LEM.MIN</t>
  </si>
  <si>
    <t xml:space="preserve">POT.CRI</t>
  </si>
  <si>
    <t xml:space="preserve">RAN.AQU</t>
  </si>
  <si>
    <t xml:space="preserve">SPA.EML</t>
  </si>
  <si>
    <t xml:space="preserve">AGR.STO</t>
  </si>
  <si>
    <t xml:space="preserve">GLY.FLU</t>
  </si>
  <si>
    <t xml:space="preserve">IRI.PSE</t>
  </si>
  <si>
    <t xml:space="preserve">NAS.OFF</t>
  </si>
  <si>
    <t xml:space="preserve">SCI.SYL</t>
  </si>
  <si>
    <t xml:space="preserve">VER.ANA</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</si>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</sst>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40757</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9.59183673469388</v>
      </c>
      <c r="M5" s="51"/>
      <c r="N5" s="52" t="s">
        <v>14</v>
      </c>
      <c r="O5" s="53" t="n">
        <v>9.51219512195122</v>
      </c>
      <c r="P5" s="8"/>
      <c r="Q5" s="8"/>
      <c r="R5" s="8"/>
      <c r="S5" s="8"/>
      <c r="T5" s="8"/>
      <c r="U5" s="8"/>
      <c r="V5" s="20"/>
      <c r="W5" s="40"/>
    </row>
    <row r="6" customFormat="false" ht="12.75" hidden="false" customHeight="false" outlineLevel="0" collapsed="false">
      <c r="A6" s="54" t="s">
        <v>15</v>
      </c>
      <c r="B6" s="55" t="s">
        <v>16</v>
      </c>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38</v>
      </c>
      <c r="C7" s="65" t="n">
        <v>62</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9.81818181818182</v>
      </c>
      <c r="O8" s="82" t="n">
        <f aca="false">AVERAGE(J23:J82)</f>
        <v>1.5</v>
      </c>
      <c r="P8" s="8"/>
      <c r="Q8" s="8"/>
      <c r="R8" s="8"/>
      <c r="S8" s="8"/>
      <c r="T8" s="8"/>
      <c r="U8" s="8"/>
      <c r="V8" s="20"/>
      <c r="W8" s="21"/>
    </row>
    <row r="9" customFormat="false" ht="12.75" hidden="false" customHeight="false" outlineLevel="0" collapsed="false">
      <c r="A9" s="83" t="s">
        <v>27</v>
      </c>
      <c r="B9" s="84" t="n">
        <v>11</v>
      </c>
      <c r="C9" s="85" t="n">
        <v>25</v>
      </c>
      <c r="D9" s="86"/>
      <c r="E9" s="86"/>
      <c r="F9" s="87" t="n">
        <f aca="false">($B9*$B$7+$C9*$C$7)/100</f>
        <v>19.68</v>
      </c>
      <c r="G9" s="88"/>
      <c r="H9" s="89"/>
      <c r="I9" s="90"/>
      <c r="J9" s="91"/>
      <c r="K9" s="71"/>
      <c r="L9" s="92"/>
      <c r="M9" s="80" t="s">
        <v>28</v>
      </c>
      <c r="N9" s="81" t="n">
        <f aca="false">STDEV(I23:I82)</f>
        <v>3.17184584439504</v>
      </c>
      <c r="O9" s="82" t="n">
        <f aca="false">STDEV(J23:J82)</f>
        <v>0.511766315719159</v>
      </c>
      <c r="P9" s="8"/>
      <c r="Q9" s="8"/>
      <c r="R9" s="8"/>
      <c r="S9" s="8"/>
      <c r="T9" s="8"/>
      <c r="U9" s="8"/>
      <c r="V9" s="93"/>
      <c r="W9" s="94"/>
    </row>
    <row r="10" customFormat="false" ht="12.75" hidden="false" customHeight="false" outlineLevel="0" collapsed="false">
      <c r="A10" s="95" t="s">
        <v>29</v>
      </c>
      <c r="B10" s="96" t="n">
        <v>0</v>
      </c>
      <c r="C10" s="97" t="n">
        <v>0</v>
      </c>
      <c r="D10" s="98"/>
      <c r="E10" s="98"/>
      <c r="F10" s="87" t="n">
        <f aca="false">($B10*$B$7+$C10*$C$7)/100</f>
        <v>0</v>
      </c>
      <c r="G10" s="88"/>
      <c r="H10" s="99"/>
      <c r="I10" s="100"/>
      <c r="J10" s="101" t="s">
        <v>30</v>
      </c>
      <c r="K10" s="101"/>
      <c r="L10" s="102"/>
      <c r="M10" s="103" t="s">
        <v>31</v>
      </c>
      <c r="N10" s="104" t="n">
        <f aca="false">MIN(I23:I82)</f>
        <v>4</v>
      </c>
      <c r="O10" s="105" t="n">
        <f aca="false">MIN(J23:J82)</f>
        <v>1</v>
      </c>
      <c r="P10" s="8"/>
      <c r="Q10" s="8"/>
      <c r="R10" s="8"/>
      <c r="S10" s="8"/>
      <c r="T10" s="8"/>
      <c r="U10" s="8"/>
    </row>
    <row r="11" customFormat="false" ht="12.75" hidden="false" customHeight="false" outlineLevel="0" collapsed="false">
      <c r="A11" s="106" t="s">
        <v>32</v>
      </c>
      <c r="B11" s="107" t="n">
        <v>0</v>
      </c>
      <c r="C11" s="108" t="n">
        <v>0</v>
      </c>
      <c r="D11" s="109"/>
      <c r="E11" s="109"/>
      <c r="F11" s="110" t="n">
        <f aca="false">($B11*$B$7+$C11*$C$7)/100</f>
        <v>0</v>
      </c>
      <c r="G11" s="111"/>
      <c r="H11" s="66"/>
      <c r="I11" s="112" t="s">
        <v>33</v>
      </c>
      <c r="J11" s="112"/>
      <c r="K11" s="113" t="n">
        <f aca="false">COUNTIF($G$23:$G$82,"=HET")</f>
        <v>0</v>
      </c>
      <c r="L11" s="114"/>
      <c r="M11" s="103" t="s">
        <v>34</v>
      </c>
      <c r="N11" s="104" t="n">
        <f aca="false">MAX(I23:I82)</f>
        <v>15</v>
      </c>
      <c r="O11" s="105" t="n">
        <f aca="false">MAX(J23:J82)</f>
        <v>2</v>
      </c>
      <c r="P11" s="8"/>
      <c r="Q11" s="8"/>
      <c r="R11" s="8"/>
      <c r="S11" s="8"/>
      <c r="T11" s="8"/>
      <c r="U11" s="8"/>
    </row>
    <row r="12" customFormat="false" ht="12.75" hidden="false" customHeight="false" outlineLevel="0" collapsed="false">
      <c r="A12" s="115" t="s">
        <v>35</v>
      </c>
      <c r="B12" s="116" t="n">
        <v>1</v>
      </c>
      <c r="C12" s="117" t="n">
        <v>1</v>
      </c>
      <c r="D12" s="109"/>
      <c r="E12" s="109"/>
      <c r="F12" s="110" t="n">
        <f aca="false">($B12*$B$7+$C12*$C$7)/100</f>
        <v>1</v>
      </c>
      <c r="G12" s="118"/>
      <c r="H12" s="66"/>
      <c r="I12" s="119" t="s">
        <v>36</v>
      </c>
      <c r="J12" s="119"/>
      <c r="K12" s="113" t="n">
        <f aca="false">COUNTIF($G$23:$G$82,"=ALG")</f>
        <v>6</v>
      </c>
      <c r="L12" s="120"/>
      <c r="M12" s="121"/>
      <c r="N12" s="122" t="s">
        <v>30</v>
      </c>
      <c r="O12" s="123"/>
      <c r="P12" s="8"/>
      <c r="Q12" s="8"/>
      <c r="R12" s="8"/>
      <c r="S12" s="8"/>
      <c r="T12" s="8"/>
      <c r="U12" s="8"/>
    </row>
    <row r="13" customFormat="false" ht="12.75" hidden="false" customHeight="false" outlineLevel="0" collapsed="false">
      <c r="A13" s="115" t="s">
        <v>37</v>
      </c>
      <c r="B13" s="116" t="n">
        <v>1.5</v>
      </c>
      <c r="C13" s="117" t="n">
        <v>1.5</v>
      </c>
      <c r="D13" s="109"/>
      <c r="E13" s="109"/>
      <c r="F13" s="110" t="n">
        <f aca="false">($B13*$B$7+$C13*$C$7)/100</f>
        <v>1.5</v>
      </c>
      <c r="G13" s="118"/>
      <c r="H13" s="66"/>
      <c r="I13" s="119" t="s">
        <v>38</v>
      </c>
      <c r="J13" s="119"/>
      <c r="K13" s="113" t="n">
        <f aca="false">COUNTIF($G$23:$G$82,"=BRm")+COUNTIF($G$23:$G$82,"=BRh")</f>
        <v>4</v>
      </c>
      <c r="L13" s="114"/>
      <c r="M13" s="124" t="s">
        <v>39</v>
      </c>
      <c r="N13" s="125" t="n">
        <f aca="false">COUNTIF(F23:F82,"&gt;0")</f>
        <v>23</v>
      </c>
      <c r="O13" s="126"/>
      <c r="P13" s="8"/>
      <c r="Q13" s="8"/>
      <c r="R13" s="8"/>
      <c r="S13" s="8"/>
      <c r="T13" s="8"/>
      <c r="U13" s="8"/>
    </row>
    <row r="14" customFormat="false" ht="12.75" hidden="false" customHeight="false" outlineLevel="0" collapsed="false">
      <c r="A14" s="115" t="s">
        <v>40</v>
      </c>
      <c r="B14" s="116" t="n">
        <v>0</v>
      </c>
      <c r="C14" s="117" t="n">
        <v>0</v>
      </c>
      <c r="D14" s="109"/>
      <c r="E14" s="109"/>
      <c r="F14" s="110" t="n">
        <f aca="false">($B14*$B$7+$C14*$C$7)/100</f>
        <v>0</v>
      </c>
      <c r="G14" s="118"/>
      <c r="H14" s="66"/>
      <c r="I14" s="119" t="s">
        <v>41</v>
      </c>
      <c r="J14" s="119"/>
      <c r="K14" s="113" t="n">
        <f aca="false">COUNTIF($G$23:$G$82,"=PTE")</f>
        <v>0</v>
      </c>
      <c r="L14" s="114"/>
      <c r="M14" s="127" t="s">
        <v>42</v>
      </c>
      <c r="N14" s="128" t="n">
        <f aca="false">COUNTIF($I$23:$I$82,"&gt;-1")</f>
        <v>22</v>
      </c>
      <c r="O14" s="129"/>
      <c r="P14" s="8"/>
      <c r="Q14" s="8"/>
      <c r="R14" s="8"/>
      <c r="S14" s="8"/>
      <c r="T14" s="8"/>
      <c r="U14" s="8"/>
    </row>
    <row r="15" customFormat="false" ht="12.75" hidden="false" customHeight="false" outlineLevel="0" collapsed="false">
      <c r="A15" s="130" t="s">
        <v>43</v>
      </c>
      <c r="B15" s="131" t="n">
        <v>8.5</v>
      </c>
      <c r="C15" s="132" t="n">
        <v>25</v>
      </c>
      <c r="D15" s="109"/>
      <c r="E15" s="109"/>
      <c r="F15" s="110" t="n">
        <f aca="false">($B15*$B$7+$C15*$C$7)/100</f>
        <v>18.73</v>
      </c>
      <c r="G15" s="118"/>
      <c r="H15" s="66"/>
      <c r="I15" s="119" t="s">
        <v>44</v>
      </c>
      <c r="J15" s="119"/>
      <c r="K15" s="113" t="n">
        <f aca="false">(COUNTIF($G$23:$G$82,"=PHy"))+(COUNTIF($G$23:$G$82,"=PHe"))+(COUNTIF($G$23:$G$82,"=PHg"))+(COUNTIF($G$23:$G$82,"=PHx"))</f>
        <v>13</v>
      </c>
      <c r="L15" s="114"/>
      <c r="M15" s="133" t="s">
        <v>45</v>
      </c>
      <c r="N15" s="134" t="n">
        <f aca="false">COUNTIF(J23:J82,"=1")</f>
        <v>11</v>
      </c>
      <c r="O15" s="135"/>
      <c r="P15" s="8"/>
      <c r="Q15" s="8"/>
      <c r="R15" s="8"/>
      <c r="S15" s="8"/>
      <c r="T15" s="8"/>
      <c r="U15" s="8"/>
    </row>
    <row r="16" customFormat="false" ht="12.75" hidden="false" customHeight="false" outlineLevel="0" collapsed="false">
      <c r="A16" s="106" t="s">
        <v>46</v>
      </c>
      <c r="B16" s="107" t="n">
        <v>0</v>
      </c>
      <c r="C16" s="108" t="n">
        <v>0.01</v>
      </c>
      <c r="D16" s="136"/>
      <c r="E16" s="136"/>
      <c r="F16" s="137"/>
      <c r="G16" s="137" t="n">
        <f aca="false">($B16*$B$7+$C16*$C$7)/100</f>
        <v>0.0062</v>
      </c>
      <c r="H16" s="66"/>
      <c r="I16" s="119"/>
      <c r="J16" s="138"/>
      <c r="K16" s="138"/>
      <c r="L16" s="114"/>
      <c r="M16" s="133" t="s">
        <v>47</v>
      </c>
      <c r="N16" s="134" t="n">
        <f aca="false">COUNTIF(J23:J82,"=2")</f>
        <v>11</v>
      </c>
      <c r="O16" s="135"/>
      <c r="P16" s="8"/>
      <c r="Q16" s="8"/>
      <c r="R16" s="8"/>
      <c r="S16" s="8"/>
      <c r="T16" s="8"/>
      <c r="U16" s="8"/>
    </row>
    <row r="17" customFormat="false" ht="12.75" hidden="false" customHeight="false" outlineLevel="0" collapsed="false">
      <c r="A17" s="115" t="s">
        <v>48</v>
      </c>
      <c r="B17" s="116" t="n">
        <v>11</v>
      </c>
      <c r="C17" s="117" t="n">
        <v>25.99</v>
      </c>
      <c r="D17" s="109"/>
      <c r="E17" s="109"/>
      <c r="F17" s="139"/>
      <c r="G17" s="110" t="n">
        <f aca="false">($B17*$B$7+$C17*$C$7)/100</f>
        <v>20.2938</v>
      </c>
      <c r="H17" s="66"/>
      <c r="I17" s="119"/>
      <c r="J17" s="119"/>
      <c r="K17" s="138"/>
      <c r="L17" s="114"/>
      <c r="M17" s="133" t="s">
        <v>49</v>
      </c>
      <c r="N17" s="134" t="n">
        <f aca="false">COUNTIF(J23:J82,"=3")</f>
        <v>0</v>
      </c>
      <c r="O17" s="135"/>
      <c r="P17" s="8"/>
      <c r="Q17" s="8"/>
      <c r="R17" s="8"/>
      <c r="S17" s="8"/>
      <c r="T17" s="8"/>
      <c r="U17" s="8"/>
    </row>
    <row r="18" customFormat="false" ht="12.75" hidden="false" customHeight="false" outlineLevel="0" collapsed="false">
      <c r="A18" s="140" t="s">
        <v>50</v>
      </c>
      <c r="B18" s="141" t="n">
        <v>0</v>
      </c>
      <c r="C18" s="142" t="n">
        <v>1.5</v>
      </c>
      <c r="D18" s="109"/>
      <c r="E18" s="143" t="s">
        <v>51</v>
      </c>
      <c r="F18" s="139"/>
      <c r="G18" s="110" t="n">
        <f aca="false">($B18*$B$7+$C18*$C$7)/100</f>
        <v>0.93</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21.23</v>
      </c>
      <c r="G19" s="151" t="n">
        <f aca="false">SUM(G16:G18)</f>
        <v>21.23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11.32</v>
      </c>
      <c r="C20" s="160" t="n">
        <f aca="false">SUM(C23:C82)</f>
        <v>27.97</v>
      </c>
      <c r="D20" s="161"/>
      <c r="E20" s="162" t="s">
        <v>51</v>
      </c>
      <c r="F20" s="163" t="n">
        <f aca="false">($B20*$B$7+$C20*$C$7)/100</f>
        <v>21.643</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4.3016</v>
      </c>
      <c r="C21" s="172" t="n">
        <f aca="false">C20*C7/100</f>
        <v>17.3414</v>
      </c>
      <c r="D21" s="109" t="str">
        <f aca="false">IF(F21=0,"",IF((ABS(F21-F19))&gt;(0.2*F21),CONCATENATE(" rec. par taxa (",F21," %) supérieur à 20 % !"),""))</f>
        <v/>
      </c>
      <c r="E21" s="173" t="str">
        <f aca="false">IF(F21=0,"",IF((ABS(F21-F19))&gt;(0.2*F21),CONCATENATE("ATTENTION : écart entre rec. par grp (",F19," %) ","et",""),""))</f>
        <v/>
      </c>
      <c r="F21" s="174" t="n">
        <f aca="false">B21+C21</f>
        <v>21.643</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0.75</v>
      </c>
      <c r="C23" s="196" t="n">
        <v>0.75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0.75</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74</v>
      </c>
      <c r="B24" s="213"/>
      <c r="C24" s="214" t="n">
        <v>0.01</v>
      </c>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0.0062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0.0062</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75</v>
      </c>
      <c r="B25" s="213" t="n">
        <v>0.05</v>
      </c>
      <c r="C25" s="214" t="n">
        <v>0.05</v>
      </c>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76</v>
      </c>
      <c r="B26" s="213" t="n">
        <v>0.05</v>
      </c>
      <c r="C26" s="214" t="n">
        <v>0.05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0.05</v>
      </c>
      <c r="Q26" s="207" t="n">
        <f aca="false">IF(OR(ISTEXT(H26),P26=0),"",IF(P26&lt;0.1,1,IF(P26&lt;1,2,IF(P26&lt;10,3,IF(P26&lt;50,4,IF(P26&gt;=50,5,""))))))</f>
        <v>1</v>
      </c>
      <c r="R26" s="207" t="n">
        <f aca="false">IF(ISERROR(Q26*I26),0,Q26*I26)</f>
        <v>10</v>
      </c>
      <c r="S26" s="207" t="n">
        <f aca="false">IF(ISERROR(Q26*I26*J26),0,Q26*I26*J26)</f>
        <v>10</v>
      </c>
      <c r="T26" s="221" t="n">
        <f aca="false">IF(ISERROR(Q26*J26),0,Q26*J26)</f>
        <v>1</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77</v>
      </c>
      <c r="B27" s="213" t="n">
        <v>0.25</v>
      </c>
      <c r="C27" s="214" t="n">
        <v>0.25</v>
      </c>
      <c r="D27" s="215" t="str">
        <f aca="false">IF(ISERROR(VLOOKUP($A27,'[1]liste reference'!$A$7:$D$906,2,0)),IF(ISERROR(VLOOKUP($A27,'[1]liste reference'!$B$7:$D$906,1,0)),"",VLOOKUP($A27,'[1]liste reference'!$B$7:$D$906,1,0)),VLOOKUP($A27,'[1]liste reference'!$A$7:$D$906,2,0))</f>
        <v>Rhizoclonium sp.       </v>
      </c>
      <c r="E27" s="215" t="e">
        <f aca="false">IF(D27="",0,VLOOKUP(D27,D$22:D26,1,0))</f>
        <v>#N/A</v>
      </c>
      <c r="F27" s="216" t="n">
        <f aca="false">($B27*$B$7+$C27*$C$7)/100</f>
        <v>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Rhizoclonium sp.       </v>
      </c>
      <c r="L27" s="220"/>
      <c r="M27" s="220"/>
      <c r="N27" s="220"/>
      <c r="O27" s="205"/>
      <c r="P27" s="206" t="n">
        <f aca="false">IF(ISTEXT(H27),"",(B27*$B$7/100)+(C27*$C$7/100))</f>
        <v>0.25</v>
      </c>
      <c r="Q27" s="207" t="n">
        <f aca="false">IF(OR(ISTEXT(H27),P27=0),"",IF(P27&lt;0.1,1,IF(P27&lt;1,2,IF(P27&lt;10,3,IF(P27&lt;50,4,IF(P27&gt;=50,5,""))))))</f>
        <v>2</v>
      </c>
      <c r="R27" s="207" t="n">
        <f aca="false">IF(ISERROR(Q27*I27),0,Q27*I27)</f>
        <v>8</v>
      </c>
      <c r="S27" s="207" t="n">
        <f aca="false">IF(ISERROR(Q27*I27*J27),0,Q27*I27*J27)</f>
        <v>16</v>
      </c>
      <c r="T27" s="221" t="n">
        <f aca="false">IF(ISERROR(Q27*J27),0,Q27*J27)</f>
        <v>4</v>
      </c>
      <c r="U27" s="208" t="str">
        <f aca="false">IF(AND(A27="",F27=0),"",IF(F27=0,"Il manque le(s) % de rec. !",""))</f>
        <v/>
      </c>
      <c r="V27" s="209"/>
      <c r="X27" s="207" t="str">
        <f aca="false">IF(A27="new.cod","NEW.COD",IF(AND((Y27=""),ISTEXT(A27)),A27,IF(Y27="","",INDEX('[1]liste reference'!$A$7:$A$906,Y27))))</f>
        <v>RHI.SPX</v>
      </c>
      <c r="Y27" s="8" t="n">
        <f aca="false">IF(ISERROR(MATCH(A27,'[1]liste reference'!$A$7:$A$906,0)),IF(ISERROR(MATCH(A27,'[1]liste reference'!$B$7:$B$906,0)),"",(MATCH(A27,'[1]liste reference'!$B$7:$B$906,0))),(MATCH(A27,'[1]liste reference'!$A$7:$A$906,0)))</f>
        <v>63</v>
      </c>
      <c r="Z27" s="210"/>
      <c r="AA27" s="211"/>
      <c r="BB27" s="8" t="n">
        <f aca="false">IF(A27="","",1)</f>
        <v>1</v>
      </c>
    </row>
    <row r="28" customFormat="false" ht="12.75" hidden="false" customHeight="false" outlineLevel="0" collapsed="false">
      <c r="A28" s="212" t="s">
        <v>78</v>
      </c>
      <c r="B28" s="213" t="n">
        <v>0.05</v>
      </c>
      <c r="C28" s="214" t="n">
        <v>0.05</v>
      </c>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0.05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0.05</v>
      </c>
      <c r="Q28" s="207" t="n">
        <f aca="false">IF(OR(ISTEXT(H28),P28=0),"",IF(P28&lt;0.1,1,IF(P28&lt;1,2,IF(P28&lt;10,3,IF(P28&lt;50,4,IF(P28&gt;=50,5,""))))))</f>
        <v>1</v>
      </c>
      <c r="R28" s="207" t="n">
        <f aca="false">IF(ISERROR(Q28*I28),0,Q28*I28)</f>
        <v>4</v>
      </c>
      <c r="S28" s="207" t="n">
        <f aca="false">IF(ISERROR(Q28*I28*J28),0,Q28*I28*J28)</f>
        <v>4</v>
      </c>
      <c r="T28" s="221" t="n">
        <f aca="false">IF(ISERROR(Q28*J28),0,Q28*J28)</f>
        <v>1</v>
      </c>
      <c r="U28" s="208" t="str">
        <f aca="false">IF(AND(A28="",F28=0),"",IF(F28=0,"Il manque le(s) % de rec. !",""))</f>
        <v/>
      </c>
      <c r="V28" s="209"/>
      <c r="W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t="s">
        <v>79</v>
      </c>
      <c r="B29" s="213" t="n">
        <v>0.75</v>
      </c>
      <c r="C29" s="214" t="n">
        <v>0.75</v>
      </c>
      <c r="D29" s="215" t="str">
        <f aca="false">IF(ISERROR(VLOOKUP($A29,'[1]liste reference'!$A$7:$D$906,2,0)),IF(ISERROR(VLOOKUP($A29,'[1]liste reference'!$B$7:$D$906,1,0)),"",VLOOKUP($A29,'[1]liste reference'!$B$7:$D$906,1,0)),VLOOKUP($A29,'[1]liste reference'!$A$7:$D$906,2,0))</f>
        <v>Amblystegium riparium (Leptodictyum riparium)</v>
      </c>
      <c r="E29" s="215" t="e">
        <f aca="false">IF(D29="",0,VLOOKUP(D29,D$22:D28,1,0))</f>
        <v>#N/A</v>
      </c>
      <c r="F29" s="216" t="n">
        <f aca="false">($B29*$B$7+$C29*$C$7)/100</f>
        <v>0.75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riparium (Leptodictyum riparium)</v>
      </c>
      <c r="L29" s="220"/>
      <c r="M29" s="220"/>
      <c r="N29" s="220"/>
      <c r="O29" s="205"/>
      <c r="P29" s="206" t="n">
        <f aca="false">IF(ISTEXT(H29),"",(B29*$B$7/100)+(C29*$C$7/100))</f>
        <v>0.75</v>
      </c>
      <c r="Q29" s="207" t="n">
        <f aca="false">IF(OR(ISTEXT(H29),P29=0),"",IF(P29&lt;0.1,1,IF(P29&lt;1,2,IF(P29&lt;10,3,IF(P29&lt;50,4,IF(P29&gt;=50,5,""))))))</f>
        <v>2</v>
      </c>
      <c r="R29" s="207" t="n">
        <f aca="false">IF(ISERROR(Q29*I29),0,Q29*I29)</f>
        <v>10</v>
      </c>
      <c r="S29" s="207" t="n">
        <f aca="false">IF(ISERROR(Q29*I29*J29),0,Q29*I29*J29)</f>
        <v>20</v>
      </c>
      <c r="T29" s="221" t="n">
        <f aca="false">IF(ISERROR(Q29*J29),0,Q29*J29)</f>
        <v>4</v>
      </c>
      <c r="U29" s="208" t="str">
        <f aca="false">IF(AND(A29="",F29=0),"",IF(F29=0,"Il manque le(s) % de rec. !",""))</f>
        <v/>
      </c>
      <c r="V29" s="222"/>
      <c r="X29" s="207" t="str">
        <f aca="false">IF(A29="new.cod","NEW.COD",IF(AND((Y29=""),ISTEXT(A29)),A29,IF(Y29="","",INDEX('[1]liste reference'!$A$7:$A$906,Y29))))</f>
        <v>AMB.RIP</v>
      </c>
      <c r="Y29" s="8" t="n">
        <f aca="false">IF(ISERROR(MATCH(A29,'[1]liste reference'!$A$7:$A$906,0)),IF(ISERROR(MATCH(A29,'[1]liste reference'!$B$7:$B$906,0)),"",(MATCH(A29,'[1]liste reference'!$B$7:$B$906,0))),(MATCH(A29,'[1]liste reference'!$A$7:$A$906,0)))</f>
        <v>149</v>
      </c>
      <c r="Z29" s="210"/>
      <c r="AA29" s="211"/>
      <c r="BB29" s="8" t="n">
        <f aca="false">IF(A29="","",1)</f>
        <v>1</v>
      </c>
    </row>
    <row r="30" customFormat="false" ht="12.75" hidden="false" customHeight="false" outlineLevel="0" collapsed="false">
      <c r="A30" s="212" t="s">
        <v>80</v>
      </c>
      <c r="B30" s="213" t="n">
        <v>0.02</v>
      </c>
      <c r="C30" s="214" t="n">
        <v>0.02</v>
      </c>
      <c r="D30" s="215" t="str">
        <f aca="false">IF(ISERROR(VLOOKUP($A30,'[1]liste reference'!$A$7:$D$906,2,0)),IF(ISERROR(VLOOKUP($A30,'[1]liste reference'!$B$7:$D$906,1,0)),"",VLOOKUP($A30,'[1]liste reference'!$B$7:$D$906,1,0)),VLOOKUP($A30,'[1]liste reference'!$A$7:$D$906,2,0))</f>
        <v>Cinclidotus fontinaloides</v>
      </c>
      <c r="E30" s="215" t="e">
        <f aca="false">IF(D30="",0,VLOOKUP(D30,D$22:D29,1,0))</f>
        <v>#N/A</v>
      </c>
      <c r="F30" s="216" t="n">
        <f aca="false">($B30*$B$7+$C30*$C$7)/100</f>
        <v>0.02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Cinclidotus fontinaloides</v>
      </c>
      <c r="L30" s="220"/>
      <c r="M30" s="220"/>
      <c r="N30" s="220"/>
      <c r="O30" s="205"/>
      <c r="P30" s="206" t="n">
        <f aca="false">IF(ISTEXT(H30),"",(B30*$B$7/100)+(C30*$C$7/100))</f>
        <v>0.02</v>
      </c>
      <c r="Q30" s="207" t="n">
        <f aca="false">IF(OR(ISTEXT(H30),P30=0),"",IF(P30&lt;0.1,1,IF(P30&lt;1,2,IF(P30&lt;10,3,IF(P30&lt;50,4,IF(P30&gt;=50,5,""))))))</f>
        <v>1</v>
      </c>
      <c r="R30" s="207" t="n">
        <f aca="false">IF(ISERROR(Q30*I30),0,Q30*I30)</f>
        <v>12</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CIN.FON</v>
      </c>
      <c r="Y30" s="8" t="n">
        <f aca="false">IF(ISERROR(MATCH(A30,'[1]liste reference'!$A$7:$A$906,0)),IF(ISERROR(MATCH(A30,'[1]liste reference'!$B$7:$B$906,0)),"",(MATCH(A30,'[1]liste reference'!$B$7:$B$906,0))),(MATCH(A30,'[1]liste reference'!$A$7:$A$906,0)))</f>
        <v>173</v>
      </c>
      <c r="Z30" s="210"/>
      <c r="AA30" s="211"/>
      <c r="BB30" s="8" t="n">
        <f aca="false">IF(A30="","",1)</f>
        <v>1</v>
      </c>
    </row>
    <row r="31" customFormat="false" ht="12.75" hidden="false" customHeight="false" outlineLevel="0" collapsed="false">
      <c r="A31" s="212" t="s">
        <v>81</v>
      </c>
      <c r="B31" s="213" t="n">
        <v>0.15</v>
      </c>
      <c r="C31" s="214" t="n">
        <v>0.15</v>
      </c>
      <c r="D31" s="215" t="str">
        <f aca="false">IF(ISERROR(VLOOKUP($A31,'[1]liste reference'!$A$7:$D$906,2,0)),IF(ISERROR(VLOOKUP($A31,'[1]liste reference'!$B$7:$D$906,1,0)),"",VLOOKUP($A31,'[1]liste reference'!$B$7:$D$906,1,0)),VLOOKUP($A31,'[1]liste reference'!$A$7:$D$906,2,0))</f>
        <v>Fontinalis antipyretica</v>
      </c>
      <c r="E31" s="215" t="e">
        <f aca="false">IF(D31="",0,VLOOKUP(D31,D$22:D30,1,0))</f>
        <v>#N/A</v>
      </c>
      <c r="F31" s="216" t="n">
        <f aca="false">($B31*$B$7+$C31*$C$7)/100</f>
        <v>0.15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Fontinalis antipyretica</v>
      </c>
      <c r="L31" s="220"/>
      <c r="M31" s="220"/>
      <c r="N31" s="220"/>
      <c r="O31" s="205"/>
      <c r="P31" s="206" t="n">
        <f aca="false">IF(ISTEXT(H31),"",(B31*$B$7/100)+(C31*$C$7/100))</f>
        <v>0.15</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FON.ANT</v>
      </c>
      <c r="Y31" s="8" t="n">
        <f aca="false">IF(ISERROR(MATCH(A31,'[1]liste reference'!$A$7:$A$906,0)),IF(ISERROR(MATCH(A31,'[1]liste reference'!$B$7:$B$906,0)),"",(MATCH(A31,'[1]liste reference'!$B$7:$B$906,0))),(MATCH(A31,'[1]liste reference'!$A$7:$A$906,0)))</f>
        <v>211</v>
      </c>
      <c r="Z31" s="210"/>
      <c r="AA31" s="211"/>
      <c r="BB31" s="8" t="n">
        <f aca="false">IF(A31="","",1)</f>
        <v>1</v>
      </c>
    </row>
    <row r="32" customFormat="false" ht="12.75" hidden="false" customHeight="false" outlineLevel="0" collapsed="false">
      <c r="A32" s="212" t="s">
        <v>82</v>
      </c>
      <c r="B32" s="213" t="n">
        <v>0.75</v>
      </c>
      <c r="C32" s="214" t="n">
        <v>0.75</v>
      </c>
      <c r="D32" s="215" t="str">
        <f aca="false">IF(ISERROR(VLOOKUP($A32,'[1]liste reference'!$A$7:$D$906,2,0)),IF(ISERROR(VLOOKUP($A32,'[1]liste reference'!$B$7:$D$906,1,0)),"",VLOOKUP($A32,'[1]liste reference'!$B$7:$D$906,1,0)),VLOOKUP($A32,'[1]liste reference'!$A$7:$D$906,2,0))</f>
        <v>Rhynchostegium riparioides (Platyhypnidium rusciforme)</v>
      </c>
      <c r="E32" s="215" t="e">
        <f aca="false">IF(D32="",0,VLOOKUP(D32,D$22:D31,1,0))</f>
        <v>#N/A</v>
      </c>
      <c r="F32" s="216" t="n">
        <f aca="false">($B32*$B$7+$C32*$C$7)/100</f>
        <v>0.75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Rhynchostegium riparioides (Platyhypnidium rusciforme)</v>
      </c>
      <c r="L32" s="220"/>
      <c r="M32" s="220"/>
      <c r="N32" s="220"/>
      <c r="O32" s="205"/>
      <c r="P32" s="206" t="n">
        <f aca="false">IF(ISTEXT(H32),"",(B32*$B$7/100)+(C32*$C$7/100))</f>
        <v>0.75</v>
      </c>
      <c r="Q32" s="207" t="n">
        <f aca="false">IF(OR(ISTEXT(H32),P32=0),"",IF(P32&lt;0.1,1,IF(P32&lt;1,2,IF(P32&lt;10,3,IF(P32&lt;50,4,IF(P32&gt;=50,5,""))))))</f>
        <v>2</v>
      </c>
      <c r="R32" s="207" t="n">
        <f aca="false">IF(ISERROR(Q32*I32),0,Q32*I32)</f>
        <v>24</v>
      </c>
      <c r="S32" s="207" t="n">
        <f aca="false">IF(ISERROR(Q32*I32*J32),0,Q32*I32*J32)</f>
        <v>24</v>
      </c>
      <c r="T32" s="221" t="n">
        <f aca="false">IF(ISERROR(Q32*J32),0,Q32*J32)</f>
        <v>2</v>
      </c>
      <c r="U32" s="208" t="str">
        <f aca="false">IF(AND(A32="",F32=0),"",IF(F32=0,"Il manque le(s) % de rec. !",""))</f>
        <v/>
      </c>
      <c r="V32" s="209"/>
      <c r="W32" s="209"/>
      <c r="X32" s="207" t="str">
        <f aca="false">IF(A32="new.cod","NEW.COD",IF(AND((Y32=""),ISTEXT(A32)),A32,IF(Y32="","",INDEX('[1]liste reference'!$A$7:$A$906,Y32))))</f>
        <v>RHY.RIP</v>
      </c>
      <c r="Y32" s="8" t="n">
        <f aca="false">IF(ISERROR(MATCH(A32,'[1]liste reference'!$A$7:$A$906,0)),IF(ISERROR(MATCH(A32,'[1]liste reference'!$B$7:$B$906,0)),"",(MATCH(A32,'[1]liste reference'!$B$7:$B$906,0))),(MATCH(A32,'[1]liste reference'!$A$7:$A$906,0)))</f>
        <v>253</v>
      </c>
      <c r="Z32" s="210"/>
      <c r="AA32" s="211"/>
      <c r="BB32" s="8" t="n">
        <f aca="false">IF(A32="","",1)</f>
        <v>1</v>
      </c>
    </row>
    <row r="33" customFormat="false" ht="12.75" hidden="false" customHeight="false" outlineLevel="0" collapsed="false">
      <c r="A33" s="212" t="s">
        <v>83</v>
      </c>
      <c r="B33" s="213" t="n">
        <v>3.5</v>
      </c>
      <c r="C33" s="214" t="n">
        <v>3.5</v>
      </c>
      <c r="D33" s="215" t="str">
        <f aca="false">IF(ISERROR(VLOOKUP($A33,'[1]liste reference'!$A$7:$D$906,2,0)),IF(ISERROR(VLOOKUP($A33,'[1]liste reference'!$B$7:$D$906,1,0)),"",VLOOKUP($A33,'[1]liste reference'!$B$7:$D$906,1,0)),VLOOKUP($A33,'[1]liste reference'!$A$7:$D$906,2,0))</f>
        <v>Callitriche hamulata</v>
      </c>
      <c r="E33" s="215" t="e">
        <f aca="false">IF(D33="",0,VLOOKUP(D33,D$22:D32,1,0))</f>
        <v>#N/A</v>
      </c>
      <c r="F33" s="216" t="n">
        <f aca="false">($B33*$B$7+$C33*$C$7)/100</f>
        <v>3.5</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Callitriche hamulata</v>
      </c>
      <c r="L33" s="220"/>
      <c r="M33" s="220"/>
      <c r="N33" s="220"/>
      <c r="O33" s="205"/>
      <c r="P33" s="206" t="n">
        <f aca="false">IF(ISTEXT(H33),"",(B33*$B$7/100)+(C33*$C$7/100))</f>
        <v>3.5</v>
      </c>
      <c r="Q33" s="207" t="n">
        <f aca="false">IF(OR(ISTEXT(H33),P33=0),"",IF(P33&lt;0.1,1,IF(P33&lt;1,2,IF(P33&lt;10,3,IF(P33&lt;50,4,IF(P33&gt;=50,5,""))))))</f>
        <v>3</v>
      </c>
      <c r="R33" s="207" t="n">
        <f aca="false">IF(ISERROR(Q33*I33),0,Q33*I33)</f>
        <v>36</v>
      </c>
      <c r="S33" s="207" t="n">
        <f aca="false">IF(ISERROR(Q33*I33*J33),0,Q33*I33*J33)</f>
        <v>36</v>
      </c>
      <c r="T33" s="221" t="n">
        <f aca="false">IF(ISERROR(Q33*J33),0,Q33*J33)</f>
        <v>3</v>
      </c>
      <c r="U33" s="208" t="str">
        <f aca="false">IF(AND(A33="",F33=0),"",IF(F33=0,"Il manque le(s) % de rec. !",""))</f>
        <v/>
      </c>
      <c r="V33" s="209"/>
      <c r="X33" s="207" t="str">
        <f aca="false">IF(A33="new.cod","NEW.COD",IF(AND((Y33=""),ISTEXT(A33)),A33,IF(Y33="","",INDEX('[1]liste reference'!$A$7:$A$906,Y33))))</f>
        <v>CAL.HAM</v>
      </c>
      <c r="Y33" s="8" t="n">
        <f aca="false">IF(ISERROR(MATCH(A33,'[1]liste reference'!$A$7:$A$906,0)),IF(ISERROR(MATCH(A33,'[1]liste reference'!$B$7:$B$906,0)),"",(MATCH(A33,'[1]liste reference'!$B$7:$B$906,0))),(MATCH(A33,'[1]liste reference'!$A$7:$A$906,0)))</f>
        <v>318</v>
      </c>
      <c r="Z33" s="210"/>
      <c r="AA33" s="211"/>
      <c r="BB33" s="8" t="n">
        <f aca="false">IF(A33="","",1)</f>
        <v>1</v>
      </c>
    </row>
    <row r="34" customFormat="false" ht="12.75" hidden="false" customHeight="false" outlineLevel="0" collapsed="false">
      <c r="A34" s="212" t="s">
        <v>14</v>
      </c>
      <c r="B34" s="213" t="n">
        <v>5</v>
      </c>
      <c r="C34" s="214" t="n">
        <v>20</v>
      </c>
      <c r="D34" s="215" t="str">
        <f aca="false">IF(ISERROR(VLOOKUP($A34,'[1]liste reference'!$A$7:$D$906,2,0)),IF(ISERROR(VLOOKUP($A34,'[1]liste reference'!$B$7:$D$906,1,0)),"",VLOOKUP($A34,'[1]liste reference'!$B$7:$D$906,1,0)),VLOOKUP($A34,'[1]liste reference'!$A$7:$D$906,2,0))</f>
        <v>Elodea canadensis</v>
      </c>
      <c r="E34" s="215" t="e">
        <f aca="false">IF(D34="",0,VLOOKUP(D34,D$22:D33,1,0))</f>
        <v>#N/A</v>
      </c>
      <c r="F34" s="223" t="n">
        <f aca="false">($B34*$B$7+$C34*$C$7)/100</f>
        <v>14.3</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Elodea canadensis</v>
      </c>
      <c r="L34" s="220"/>
      <c r="M34" s="220"/>
      <c r="N34" s="220"/>
      <c r="O34" s="205"/>
      <c r="P34" s="206" t="n">
        <f aca="false">IF(ISTEXT(H34),"",(B34*$B$7/100)+(C34*$C$7/100))</f>
        <v>14.3</v>
      </c>
      <c r="Q34" s="207" t="n">
        <f aca="false">IF(OR(ISTEXT(H34),P34=0),"",IF(P34&lt;0.1,1,IF(P34&lt;1,2,IF(P34&lt;10,3,IF(P34&lt;50,4,IF(P34&gt;=50,5,""))))))</f>
        <v>4</v>
      </c>
      <c r="R34" s="207" t="n">
        <f aca="false">IF(ISERROR(Q34*I34),0,Q34*I34)</f>
        <v>40</v>
      </c>
      <c r="S34" s="207" t="n">
        <f aca="false">IF(ISERROR(Q34*I34*J34),0,Q34*I34*J34)</f>
        <v>80</v>
      </c>
      <c r="T34" s="221" t="n">
        <f aca="false">IF(ISERROR(Q34*J34),0,Q34*J34)</f>
        <v>8</v>
      </c>
      <c r="U34" s="208" t="str">
        <f aca="false">IF(AND(A34="",F34=0),"",IF(F34=0,"Il manque le(s) % de rec. !",""))</f>
        <v/>
      </c>
      <c r="V34" s="209"/>
      <c r="X34" s="207" t="str">
        <f aca="false">IF(A34="new.cod","NEW.COD",IF(AND((Y34=""),ISTEXT(A34)),A34,IF(Y34="","",INDEX('[1]liste reference'!$A$7:$A$906,Y34))))</f>
        <v>ELO.CAN</v>
      </c>
      <c r="Y34" s="8" t="n">
        <f aca="false">IF(ISERROR(MATCH(A34,'[1]liste reference'!$A$7:$A$906,0)),IF(ISERROR(MATCH(A34,'[1]liste reference'!$B$7:$B$906,0)),"",(MATCH(A34,'[1]liste reference'!$B$7:$B$906,0))),(MATCH(A34,'[1]liste reference'!$A$7:$A$906,0)))</f>
        <v>344</v>
      </c>
      <c r="Z34" s="210"/>
      <c r="AA34" s="211"/>
      <c r="BB34" s="8" t="n">
        <f aca="false">IF(A34="","",1)</f>
        <v>1</v>
      </c>
    </row>
    <row r="35" customFormat="false" ht="12.75" hidden="false" customHeight="false" outlineLevel="0" collapsed="false">
      <c r="A35" s="212" t="s">
        <v>84</v>
      </c>
      <c r="B35" s="213"/>
      <c r="C35" s="214" t="n">
        <v>0.01</v>
      </c>
      <c r="D35" s="215" t="str">
        <f aca="false">IF(ISERROR(VLOOKUP($A35,'[1]liste reference'!$A$7:$D$906,2,0)),IF(ISERROR(VLOOKUP($A35,'[1]liste reference'!$B$7:$D$906,1,0)),"",VLOOKUP($A35,'[1]liste reference'!$B$7:$D$906,1,0)),VLOOKUP($A35,'[1]liste reference'!$A$7:$D$906,2,0))</f>
        <v>Lemna minor</v>
      </c>
      <c r="E35" s="215" t="e">
        <f aca="false">IF(D35="",0,VLOOKUP(D35,D$22:D34,1,0))</f>
        <v>#N/A</v>
      </c>
      <c r="F35" s="223" t="n">
        <f aca="false">($B35*$B$7+$C35*$C$7)/100</f>
        <v>0.0062</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Lemna minor</v>
      </c>
      <c r="L35" s="220"/>
      <c r="M35" s="220"/>
      <c r="N35" s="220"/>
      <c r="O35" s="205"/>
      <c r="P35" s="206" t="n">
        <f aca="false">IF(ISTEXT(H35),"",(B35*$B$7/100)+(C35*$C$7/100))</f>
        <v>0.0062</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LEM.MIN</v>
      </c>
      <c r="Y35" s="8" t="n">
        <f aca="false">IF(ISERROR(MATCH(A35,'[1]liste reference'!$A$7:$A$906,0)),IF(ISERROR(MATCH(A35,'[1]liste reference'!$B$7:$B$906,0)),"",(MATCH(A35,'[1]liste reference'!$B$7:$B$906,0))),(MATCH(A35,'[1]liste reference'!$A$7:$A$906,0)))</f>
        <v>361</v>
      </c>
      <c r="Z35" s="210"/>
      <c r="AA35" s="211"/>
      <c r="BB35" s="8" t="n">
        <f aca="false">IF(A35="","",1)</f>
        <v>1</v>
      </c>
    </row>
    <row r="36" customFormat="false" ht="12.75" hidden="false" customHeight="false" outlineLevel="0" collapsed="false">
      <c r="A36" s="212" t="s">
        <v>85</v>
      </c>
      <c r="B36" s="213"/>
      <c r="C36" s="214" t="n">
        <v>0.02</v>
      </c>
      <c r="D36" s="215" t="str">
        <f aca="false">IF(ISERROR(VLOOKUP($A36,'[1]liste reference'!$A$7:$D$906,2,0)),IF(ISERROR(VLOOKUP($A36,'[1]liste reference'!$B$7:$D$906,1,0)),"",VLOOKUP($A36,'[1]liste reference'!$B$7:$D$906,1,0)),VLOOKUP($A36,'[1]liste reference'!$A$7:$D$906,2,0))</f>
        <v>Potamogeton crispus</v>
      </c>
      <c r="E36" s="215" t="e">
        <f aca="false">IF(D36="",0,VLOOKUP(D36,D$22:D35,1,0))</f>
        <v>#N/A</v>
      </c>
      <c r="F36" s="223" t="n">
        <f aca="false">($B36*$B$7+$C36*$C$7)/100</f>
        <v>0.0124</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7</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Potamogeton crispus</v>
      </c>
      <c r="L36" s="220"/>
      <c r="M36" s="220"/>
      <c r="N36" s="220"/>
      <c r="O36" s="205"/>
      <c r="P36" s="206" t="n">
        <f aca="false">IF(ISTEXT(H36),"",(B36*$B$7/100)+(C36*$C$7/100))</f>
        <v>0.0124</v>
      </c>
      <c r="Q36" s="207" t="n">
        <f aca="false">IF(OR(ISTEXT(H36),P36=0),"",IF(P36&lt;0.1,1,IF(P36&lt;1,2,IF(P36&lt;10,3,IF(P36&lt;50,4,IF(P36&gt;=50,5,""))))))</f>
        <v>1</v>
      </c>
      <c r="R36" s="207" t="n">
        <f aca="false">IF(ISERROR(Q36*I36),0,Q36*I36)</f>
        <v>7</v>
      </c>
      <c r="S36" s="207" t="n">
        <f aca="false">IF(ISERROR(Q36*I36*J36),0,Q36*I36*J36)</f>
        <v>14</v>
      </c>
      <c r="T36" s="221" t="n">
        <f aca="false">IF(ISERROR(Q36*J36),0,Q36*J36)</f>
        <v>2</v>
      </c>
      <c r="U36" s="208" t="str">
        <f aca="false">IF(AND(A36="",F36=0),"",IF(F36=0,"Il manque le(s) % de rec. !",""))</f>
        <v/>
      </c>
      <c r="V36" s="209"/>
      <c r="X36" s="207" t="str">
        <f aca="false">IF(A36="new.cod","NEW.COD",IF(AND((Y36=""),ISTEXT(A36)),A36,IF(Y36="","",INDEX('[1]liste reference'!$A$7:$A$906,Y36))))</f>
        <v>POT.CRI</v>
      </c>
      <c r="Y36" s="8" t="n">
        <f aca="false">IF(ISERROR(MATCH(A36,'[1]liste reference'!$A$7:$A$906,0)),IF(ISERROR(MATCH(A36,'[1]liste reference'!$B$7:$B$906,0)),"",(MATCH(A36,'[1]liste reference'!$B$7:$B$906,0))),(MATCH(A36,'[1]liste reference'!$A$7:$A$906,0)))</f>
        <v>413</v>
      </c>
      <c r="Z36" s="210"/>
      <c r="AA36" s="211"/>
      <c r="BB36" s="8" t="n">
        <f aca="false">IF(A36="","",1)</f>
        <v>1</v>
      </c>
    </row>
    <row r="37" customFormat="false" ht="12.75" hidden="false" customHeight="false" outlineLevel="0" collapsed="false">
      <c r="A37" s="212" t="s">
        <v>86</v>
      </c>
      <c r="B37" s="213"/>
      <c r="C37" s="214" t="n">
        <v>0.01</v>
      </c>
      <c r="D37" s="215" t="str">
        <f aca="false">IF(ISERROR(VLOOKUP($A37,'[1]liste reference'!$A$7:$D$906,2,0)),IF(ISERROR(VLOOKUP($A37,'[1]liste reference'!$B$7:$D$906,1,0)),"",VLOOKUP($A37,'[1]liste reference'!$B$7:$D$906,1,0)),VLOOKUP($A37,'[1]liste reference'!$A$7:$D$906,2,0))</f>
        <v>Ranunculus aquatilis</v>
      </c>
      <c r="E37" s="215" t="e">
        <f aca="false">IF(D37="",0,VLOOKUP(D37,D$22:D36,1,0))</f>
        <v>#N/A</v>
      </c>
      <c r="F37" s="223" t="n">
        <f aca="false">($B37*$B$7+$C37*$C$7)/100</f>
        <v>0.0062</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11</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Ranunculus aquatilis</v>
      </c>
      <c r="L37" s="224"/>
      <c r="M37" s="224"/>
      <c r="N37" s="224"/>
      <c r="O37" s="225"/>
      <c r="P37" s="206" t="n">
        <f aca="false">IF(ISTEXT(H37),"",(B37*$B$7/100)+(C37*$C$7/100))</f>
        <v>0.0062</v>
      </c>
      <c r="Q37" s="207" t="n">
        <f aca="false">IF(OR(ISTEXT(H37),P37=0),"",IF(P37&lt;0.1,1,IF(P37&lt;1,2,IF(P37&lt;10,3,IF(P37&lt;50,4,IF(P37&gt;=50,5,""))))))</f>
        <v>1</v>
      </c>
      <c r="R37" s="207" t="n">
        <f aca="false">IF(ISERROR(Q37*I37),0,Q37*I37)</f>
        <v>11</v>
      </c>
      <c r="S37" s="207" t="n">
        <f aca="false">IF(ISERROR(Q37*I37*J37),0,Q37*I37*J37)</f>
        <v>22</v>
      </c>
      <c r="T37" s="221" t="n">
        <f aca="false">IF(ISERROR(Q37*J37),0,Q37*J37)</f>
        <v>2</v>
      </c>
      <c r="U37" s="208" t="str">
        <f aca="false">IF(AND(A37="",F37=0),"",IF(F37=0,"Il manque le(s) % de rec. !",""))</f>
        <v/>
      </c>
      <c r="V37" s="209"/>
      <c r="X37" s="207" t="str">
        <f aca="false">IF(A37="new.cod","NEW.COD",IF(AND((Y37=""),ISTEXT(A37)),A37,IF(Y37="","",INDEX('[1]liste reference'!$A$7:$A$906,Y37))))</f>
        <v>RAN.AQU</v>
      </c>
      <c r="Y37" s="8" t="n">
        <f aca="false">IF(ISERROR(MATCH(A37,'[1]liste reference'!$A$7:$A$906,0)),IF(ISERROR(MATCH(A37,'[1]liste reference'!$B$7:$B$906,0)),"",(MATCH(A37,'[1]liste reference'!$B$7:$B$906,0))),(MATCH(A37,'[1]liste reference'!$A$7:$A$906,0)))</f>
        <v>455</v>
      </c>
      <c r="Z37" s="210"/>
      <c r="AA37" s="211"/>
      <c r="BB37" s="8" t="n">
        <f aca="false">IF(A37="","",1)</f>
        <v>1</v>
      </c>
    </row>
    <row r="38" customFormat="false" ht="12.75" hidden="false" customHeight="false" outlineLevel="0" collapsed="false">
      <c r="A38" s="212" t="s">
        <v>87</v>
      </c>
      <c r="B38" s="213"/>
      <c r="C38" s="214" t="n">
        <v>0.02</v>
      </c>
      <c r="D38" s="215" t="str">
        <f aca="false">IF(ISERROR(VLOOKUP($A38,'[1]liste reference'!$A$7:$D$906,2,0)),IF(ISERROR(VLOOKUP($A38,'[1]liste reference'!$B$7:$D$906,1,0)),"",VLOOKUP($A38,'[1]liste reference'!$B$7:$D$906,1,0)),VLOOKUP($A38,'[1]liste reference'!$A$7:$D$906,2,0))</f>
        <v>Sparganium emersum feuilles longues (&gt; 20 cm)</v>
      </c>
      <c r="E38" s="215" t="e">
        <f aca="false">IF(D38="",0,VLOOKUP(D38,D$22:D37,1,0))</f>
        <v>#N/A</v>
      </c>
      <c r="F38" s="223" t="n">
        <f aca="false">($B38*$B$7+$C38*$C$7)/100</f>
        <v>0.0124</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7</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Sparganium emersum feuilles longues (&gt; 20 cm)</v>
      </c>
      <c r="L38" s="220"/>
      <c r="M38" s="220"/>
      <c r="N38" s="220"/>
      <c r="O38" s="205"/>
      <c r="P38" s="206" t="n">
        <f aca="false">IF(ISTEXT(H38),"",(B38*$B$7/100)+(C38*$C$7/100))</f>
        <v>0.0124</v>
      </c>
      <c r="Q38" s="207" t="n">
        <f aca="false">IF(OR(ISTEXT(H38),P38=0),"",IF(P38&lt;0.1,1,IF(P38&lt;1,2,IF(P38&lt;10,3,IF(P38&lt;50,4,IF(P38&gt;=50,5,""))))))</f>
        <v>1</v>
      </c>
      <c r="R38" s="207" t="n">
        <f aca="false">IF(ISERROR(Q38*I38),0,Q38*I38)</f>
        <v>7</v>
      </c>
      <c r="S38" s="207" t="n">
        <f aca="false">IF(ISERROR(Q38*I38*J38),0,Q38*I38*J38)</f>
        <v>7</v>
      </c>
      <c r="T38" s="221" t="n">
        <f aca="false">IF(ISERROR(Q38*J38),0,Q38*J38)</f>
        <v>1</v>
      </c>
      <c r="U38" s="208" t="str">
        <f aca="false">IF(AND(A38="",F38=0),"",IF(F38=0,"Il manque le(s) % de rec. !",""))</f>
        <v/>
      </c>
      <c r="V38" s="209"/>
      <c r="X38" s="207" t="str">
        <f aca="false">IF(A38="new.cod","NEW.COD",IF(AND((Y38=""),ISTEXT(A38)),A38,IF(Y38="","",INDEX('[1]liste reference'!$A$7:$A$906,Y38))))</f>
        <v>SPA.EML</v>
      </c>
      <c r="Y38" s="8" t="n">
        <f aca="false">IF(ISERROR(MATCH(A38,'[1]liste reference'!$A$7:$A$906,0)),IF(ISERROR(MATCH(A38,'[1]liste reference'!$B$7:$B$906,0)),"",(MATCH(A38,'[1]liste reference'!$B$7:$B$906,0))),(MATCH(A38,'[1]liste reference'!$A$7:$A$906,0)))</f>
        <v>488</v>
      </c>
      <c r="Z38" s="210"/>
      <c r="AA38" s="211"/>
      <c r="BB38" s="8" t="n">
        <f aca="false">IF(A38="","",1)</f>
        <v>1</v>
      </c>
    </row>
    <row r="39" customFormat="false" ht="12.75" hidden="false" customHeight="false" outlineLevel="0" collapsed="false">
      <c r="A39" s="212" t="s">
        <v>88</v>
      </c>
      <c r="B39" s="213"/>
      <c r="C39" s="214" t="n">
        <v>1.5</v>
      </c>
      <c r="D39" s="215" t="str">
        <f aca="false">IF(ISERROR(VLOOKUP($A39,'[1]liste reference'!$A$7:$D$906,2,0)),IF(ISERROR(VLOOKUP($A39,'[1]liste reference'!$B$7:$D$906,1,0)),"",VLOOKUP($A39,'[1]liste reference'!$B$7:$D$906,1,0)),VLOOKUP($A39,'[1]liste reference'!$A$7:$D$906,2,0))</f>
        <v>Agrostis stolonifera</v>
      </c>
      <c r="E39" s="215" t="e">
        <f aca="false">IF(D39="",0,VLOOKUP(D39,D$22:D38,1,0))</f>
        <v>#N/A</v>
      </c>
      <c r="F39" s="223" t="n">
        <f aca="false">($B39*$B$7+$C39*$C$7)/100</f>
        <v>0.93</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0.93</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09"/>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89</v>
      </c>
      <c r="B40" s="213"/>
      <c r="C40" s="214" t="n">
        <v>0.02</v>
      </c>
      <c r="D40" s="215" t="str">
        <f aca="false">IF(ISERROR(VLOOKUP($A40,'[1]liste reference'!$A$7:$D$906,2,0)),IF(ISERROR(VLOOKUP($A40,'[1]liste reference'!$B$7:$D$906,1,0)),"",VLOOKUP($A40,'[1]liste reference'!$B$7:$D$906,1,0)),VLOOKUP($A40,'[1]liste reference'!$A$7:$D$906,2,0))</f>
        <v>Glyceria fluitans</v>
      </c>
      <c r="E40" s="215" t="e">
        <f aca="false">IF(D40="",0,VLOOKUP(D40,D$22:D39,1,0))</f>
        <v>#N/A</v>
      </c>
      <c r="F40" s="223" t="n">
        <f aca="false">($B40*$B$7+$C40*$C$7)/100</f>
        <v>0.0124</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14</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Glyceria fluitans</v>
      </c>
      <c r="L40" s="220"/>
      <c r="M40" s="220"/>
      <c r="N40" s="220"/>
      <c r="O40" s="205"/>
      <c r="P40" s="206" t="n">
        <f aca="false">IF(ISTEXT(H40),"",(B40*$B$7/100)+(C40*$C$7/100))</f>
        <v>0.0124</v>
      </c>
      <c r="Q40" s="207" t="n">
        <f aca="false">IF(OR(ISTEXT(H40),P40=0),"",IF(P40&lt;0.1,1,IF(P40&lt;1,2,IF(P40&lt;10,3,IF(P40&lt;50,4,IF(P40&gt;=50,5,""))))))</f>
        <v>1</v>
      </c>
      <c r="R40" s="207" t="n">
        <f aca="false">IF(ISERROR(Q40*I40),0,Q40*I40)</f>
        <v>14</v>
      </c>
      <c r="S40" s="207" t="n">
        <f aca="false">IF(ISERROR(Q40*I40*J40),0,Q40*I40*J40)</f>
        <v>28</v>
      </c>
      <c r="T40" s="221" t="n">
        <f aca="false">IF(ISERROR(Q40*J40),0,Q40*J40)</f>
        <v>2</v>
      </c>
      <c r="U40" s="208" t="str">
        <f aca="false">IF(AND(A40="",F40=0),"",IF(F40=0,"Il manque le(s) % de rec. !",""))</f>
        <v/>
      </c>
      <c r="V40" s="209"/>
      <c r="X40" s="207" t="str">
        <f aca="false">IF(A40="new.cod","NEW.COD",IF(AND((Y40=""),ISTEXT(A40)),A40,IF(Y40="","",INDEX('[1]liste reference'!$A$7:$A$906,Y40))))</f>
        <v>GLY.FLU</v>
      </c>
      <c r="Y40" s="8" t="n">
        <f aca="false">IF(ISERROR(MATCH(A40,'[1]liste reference'!$A$7:$A$906,0)),IF(ISERROR(MATCH(A40,'[1]liste reference'!$B$7:$B$906,0)),"",(MATCH(A40,'[1]liste reference'!$B$7:$B$906,0))),(MATCH(A40,'[1]liste reference'!$A$7:$A$906,0)))</f>
        <v>580</v>
      </c>
      <c r="Z40" s="210"/>
      <c r="AA40" s="211"/>
      <c r="BB40" s="8" t="n">
        <f aca="false">IF(A40="","",1)</f>
        <v>1</v>
      </c>
    </row>
    <row r="41" customFormat="false" ht="12.75" hidden="false" customHeight="false" outlineLevel="0" collapsed="false">
      <c r="A41" s="212" t="s">
        <v>90</v>
      </c>
      <c r="B41" s="213"/>
      <c r="C41" s="214" t="n">
        <v>0.01</v>
      </c>
      <c r="D41" s="215" t="str">
        <f aca="false">IF(ISERROR(VLOOKUP($A41,'[1]liste reference'!$A$7:$D$906,2,0)),IF(ISERROR(VLOOKUP($A41,'[1]liste reference'!$B$7:$D$906,1,0)),"",VLOOKUP($A41,'[1]liste reference'!$B$7:$D$906,1,0)),VLOOKUP($A41,'[1]liste reference'!$A$7:$D$906,2,0))</f>
        <v>Iris pseudacorus</v>
      </c>
      <c r="E41" s="215" t="e">
        <f aca="false">IF(D41="",0,VLOOKUP(D41,D$22:D40,1,0))</f>
        <v>#N/A</v>
      </c>
      <c r="F41" s="223" t="n">
        <f aca="false">($B41*$B$7+$C41*$C$7)/100</f>
        <v>0.0062</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Iris pseudacorus</v>
      </c>
      <c r="L41" s="224"/>
      <c r="M41" s="224"/>
      <c r="N41" s="224"/>
      <c r="O41" s="225"/>
      <c r="P41" s="206" t="n">
        <f aca="false">IF(ISTEXT(H41),"",(B41*$B$7/100)+(C41*$C$7/100))</f>
        <v>0.0062</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IRI.PSE</v>
      </c>
      <c r="Y41" s="8" t="n">
        <f aca="false">IF(ISERROR(MATCH(A41,'[1]liste reference'!$A$7:$A$906,0)),IF(ISERROR(MATCH(A41,'[1]liste reference'!$B$7:$B$906,0)),"",(MATCH(A41,'[1]liste reference'!$B$7:$B$906,0))),(MATCH(A41,'[1]liste reference'!$A$7:$A$906,0)))</f>
        <v>588</v>
      </c>
      <c r="Z41" s="210"/>
      <c r="AA41" s="211"/>
      <c r="BB41" s="8" t="n">
        <f aca="false">IF(A41="","",1)</f>
        <v>1</v>
      </c>
    </row>
    <row r="42" customFormat="false" ht="12.75" hidden="false" customHeight="false" outlineLevel="0" collapsed="false">
      <c r="A42" s="212" t="s">
        <v>91</v>
      </c>
      <c r="B42" s="213"/>
      <c r="C42" s="214" t="n">
        <v>0.01</v>
      </c>
      <c r="D42" s="215" t="str">
        <f aca="false">IF(ISERROR(VLOOKUP($A42,'[1]liste reference'!$A$7:$D$906,2,0)),IF(ISERROR(VLOOKUP($A42,'[1]liste reference'!$B$7:$D$906,1,0)),"",VLOOKUP($A42,'[1]liste reference'!$B$7:$D$906,1,0)),VLOOKUP($A42,'[1]liste reference'!$A$7:$D$906,2,0))</f>
        <v>Nasturtium officinale (Rorippa nasturtium-aquaticum)</v>
      </c>
      <c r="E42" s="215" t="e">
        <f aca="false">IF(D42="",0,VLOOKUP(D42,D$22:D41,1,0))</f>
        <v>#N/A</v>
      </c>
      <c r="F42" s="223" t="n">
        <f aca="false">($B42*$B$7+$C42*$C$7)/100</f>
        <v>0.0062</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11</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Nasturtium officinale (Rorippa nasturtium-aquaticum)</v>
      </c>
      <c r="L42" s="220"/>
      <c r="M42" s="220"/>
      <c r="N42" s="220"/>
      <c r="O42" s="205"/>
      <c r="P42" s="206" t="n">
        <f aca="false">IF(ISTEXT(H42),"",(B42*$B$7/100)+(C42*$C$7/100))</f>
        <v>0.0062</v>
      </c>
      <c r="Q42" s="207" t="n">
        <f aca="false">IF(OR(ISTEXT(H42),P42=0),"",IF(P42&lt;0.1,1,IF(P42&lt;1,2,IF(P42&lt;10,3,IF(P42&lt;50,4,IF(P42&gt;=50,5,""))))))</f>
        <v>1</v>
      </c>
      <c r="R42" s="207" t="n">
        <f aca="false">IF(ISERROR(Q42*I42),0,Q42*I42)</f>
        <v>11</v>
      </c>
      <c r="S42" s="207" t="n">
        <f aca="false">IF(ISERROR(Q42*I42*J42),0,Q42*I42*J42)</f>
        <v>11</v>
      </c>
      <c r="T42" s="221" t="n">
        <f aca="false">IF(ISERROR(Q42*J42),0,Q42*J42)</f>
        <v>1</v>
      </c>
      <c r="U42" s="208" t="str">
        <f aca="false">IF(AND(A42="",F42=0),"",IF(F42=0,"Il manque le(s) % de rec. !",""))</f>
        <v/>
      </c>
      <c r="V42" s="209"/>
      <c r="X42" s="207" t="str">
        <f aca="false">IF(A42="new.cod","NEW.COD",IF(AND((Y42=""),ISTEXT(A42)),A42,IF(Y42="","",INDEX('[1]liste reference'!$A$7:$A$906,Y42))))</f>
        <v>NAS.OFF</v>
      </c>
      <c r="Y42" s="8" t="n">
        <f aca="false">IF(ISERROR(MATCH(A42,'[1]liste reference'!$A$7:$A$906,0)),IF(ISERROR(MATCH(A42,'[1]liste reference'!$B$7:$B$906,0)),"",(MATCH(A42,'[1]liste reference'!$B$7:$B$906,0))),(MATCH(A42,'[1]liste reference'!$A$7:$A$906,0)))</f>
        <v>634</v>
      </c>
      <c r="Z42" s="210"/>
      <c r="AA42" s="211"/>
      <c r="BB42" s="8" t="n">
        <f aca="false">IF(A42="","",1)</f>
        <v>1</v>
      </c>
    </row>
    <row r="43" customFormat="false" ht="12.75" hidden="false" customHeight="false" outlineLevel="0" collapsed="false">
      <c r="A43" s="212" t="s">
        <v>92</v>
      </c>
      <c r="B43" s="213"/>
      <c r="C43" s="214" t="n">
        <v>0.01</v>
      </c>
      <c r="D43" s="215" t="str">
        <f aca="false">IF(ISERROR(VLOOKUP($A43,'[1]liste reference'!$A$7:$D$906,2,0)),IF(ISERROR(VLOOKUP($A43,'[1]liste reference'!$B$7:$D$906,1,0)),"",VLOOKUP($A43,'[1]liste reference'!$B$7:$D$906,1,0)),VLOOKUP($A43,'[1]liste reference'!$A$7:$D$906,2,0))</f>
        <v>Scirpus sylvaticus</v>
      </c>
      <c r="E43" s="215" t="e">
        <f aca="false">IF(D43="",0,VLOOKUP(D43,D$22:D42,1,0))</f>
        <v>#N/A</v>
      </c>
      <c r="F43" s="223" t="n">
        <f aca="false">($B43*$B$7+$C43*$C$7)/100</f>
        <v>0.0062</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Scirpus sylvaticus</v>
      </c>
      <c r="L43" s="220"/>
      <c r="M43" s="220"/>
      <c r="N43" s="220"/>
      <c r="O43" s="205"/>
      <c r="P43" s="206" t="n">
        <f aca="false">IF(ISTEXT(H43),"",(B43*$B$7/100)+(C43*$C$7/100))</f>
        <v>0.0062</v>
      </c>
      <c r="Q43" s="207" t="n">
        <f aca="false">IF(OR(ISTEXT(H43),P43=0),"",IF(P43&lt;0.1,1,IF(P43&lt;1,2,IF(P43&lt;10,3,IF(P43&lt;50,4,IF(P43&gt;=50,5,""))))))</f>
        <v>1</v>
      </c>
      <c r="R43" s="207" t="n">
        <f aca="false">IF(ISERROR(Q43*I43),0,Q43*I43)</f>
        <v>10</v>
      </c>
      <c r="S43" s="207" t="n">
        <f aca="false">IF(ISERROR(Q43*I43*J43),0,Q43*I43*J43)</f>
        <v>20</v>
      </c>
      <c r="T43" s="221" t="n">
        <f aca="false">IF(ISERROR(Q43*J43),0,Q43*J43)</f>
        <v>2</v>
      </c>
      <c r="U43" s="208" t="str">
        <f aca="false">IF(AND(A43="",F43=0),"",IF(F43=0,"Il manque le(s) % de rec. !",""))</f>
        <v/>
      </c>
      <c r="V43" s="209"/>
      <c r="X43" s="207" t="str">
        <f aca="false">IF(A43="new.cod","NEW.COD",IF(AND((Y43=""),ISTEXT(A43)),A43,IF(Y43="","",INDEX('[1]liste reference'!$A$7:$A$906,Y43))))</f>
        <v>SCI.SYL</v>
      </c>
      <c r="Y43" s="8" t="n">
        <f aca="false">IF(ISERROR(MATCH(A43,'[1]liste reference'!$A$7:$A$906,0)),IF(ISERROR(MATCH(A43,'[1]liste reference'!$B$7:$B$906,0)),"",(MATCH(A43,'[1]liste reference'!$B$7:$B$906,0))),(MATCH(A43,'[1]liste reference'!$A$7:$A$906,0)))</f>
        <v>671</v>
      </c>
      <c r="Z43" s="210"/>
      <c r="AA43" s="211"/>
      <c r="BB43" s="8" t="n">
        <f aca="false">IF(A43="","",1)</f>
        <v>1</v>
      </c>
    </row>
    <row r="44" customFormat="false" ht="12.75" hidden="false" customHeight="false" outlineLevel="0" collapsed="false">
      <c r="A44" s="212" t="s">
        <v>93</v>
      </c>
      <c r="B44" s="213"/>
      <c r="C44" s="214" t="n">
        <v>0.01</v>
      </c>
      <c r="D44" s="215" t="str">
        <f aca="false">IF(ISERROR(VLOOKUP($A44,'[1]liste reference'!$A$7:$D$906,2,0)),IF(ISERROR(VLOOKUP($A44,'[1]liste reference'!$B$7:$D$906,1,0)),"",VLOOKUP($A44,'[1]liste reference'!$B$7:$D$906,1,0)),VLOOKUP($A44,'[1]liste reference'!$A$7:$D$906,2,0))</f>
        <v>Veronica anagallis-aquatica</v>
      </c>
      <c r="E44" s="215" t="e">
        <f aca="false">IF(D44="",0,VLOOKUP(D44,D$21:D43,1,0))</f>
        <v>#N/A</v>
      </c>
      <c r="F44" s="223" t="n">
        <f aca="false">($B44*$B$7+$C44*$C$7)/100</f>
        <v>0.0062</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11</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Veronica anagallis-aquatica</v>
      </c>
      <c r="L44" s="220"/>
      <c r="M44" s="220"/>
      <c r="N44" s="220"/>
      <c r="O44" s="205"/>
      <c r="P44" s="206" t="n">
        <f aca="false">IF(ISTEXT(H44),"",(B44*$B$7/100)+(C44*$C$7/100))</f>
        <v>0.0062</v>
      </c>
      <c r="Q44" s="207" t="n">
        <f aca="false">IF(OR(ISTEXT(H44),P44=0),"",IF(P44&lt;0.1,1,IF(P44&lt;1,2,IF(P44&lt;10,3,IF(P44&lt;50,4,IF(P44&gt;=50,5,""))))))</f>
        <v>1</v>
      </c>
      <c r="R44" s="207" t="n">
        <f aca="false">IF(ISERROR(Q44*I44),0,Q44*I44)</f>
        <v>11</v>
      </c>
      <c r="S44" s="207" t="n">
        <f aca="false">IF(ISERROR(Q44*I44*J44),0,Q44*I44*J44)</f>
        <v>22</v>
      </c>
      <c r="T44" s="221" t="n">
        <f aca="false">IF(ISERROR(Q44*J44),0,Q44*J44)</f>
        <v>2</v>
      </c>
      <c r="U44" s="208" t="str">
        <f aca="false">IF(AND(A44="",F44=0),"",IF(F44=0,"Il manque le(s) % de rec. !",""))</f>
        <v/>
      </c>
      <c r="V44" s="209"/>
      <c r="W44" s="226"/>
      <c r="X44" s="207" t="str">
        <f aca="false">IF(A44="new.cod","NEW.COD",IF(AND((Y44=""),ISTEXT(A44)),A44,IF(Y44="","",INDEX('[1]liste reference'!$A$7:$A$906,Y44))))</f>
        <v>VER.ANA</v>
      </c>
      <c r="Y44" s="8" t="n">
        <f aca="false">IF(ISERROR(MATCH(A44,'[1]liste reference'!$A$7:$A$906,0)),IF(ISERROR(MATCH(A44,'[1]liste reference'!$B$7:$B$906,0)),"",(MATCH(A44,'[1]liste reference'!$B$7:$B$906,0))),(MATCH(A44,'[1]liste reference'!$A$7:$A$906,0)))</f>
        <v>689</v>
      </c>
      <c r="Z44" s="210"/>
      <c r="AA44" s="211"/>
      <c r="BB44" s="8" t="n">
        <f aca="false">IF(A44="","",1)</f>
        <v>1</v>
      </c>
    </row>
    <row r="45" customFormat="false" ht="12.75" hidden="false" customHeight="false" outlineLevel="0" collapsed="false">
      <c r="A45" s="212" t="s">
        <v>94</v>
      </c>
      <c r="B45" s="213"/>
      <c r="C45" s="214" t="n">
        <v>0.02</v>
      </c>
      <c r="D45" s="215" t="str">
        <f aca="false">IF(ISERROR(VLOOKUP($A45,'[1]liste reference'!$A$7:$D$906,2,0)),IF(ISERROR(VLOOKUP($A45,'[1]liste reference'!$B$7:$D$906,1,0)),"",VLOOKUP($A45,'[1]liste reference'!$B$7:$D$906,1,0)),VLOOKUP($A45,'[1]liste reference'!$A$7:$D$906,2,0))</f>
        <v>Ranunculus repens</v>
      </c>
      <c r="E45" s="215" t="e">
        <f aca="false">IF(D45="",0,VLOOKUP(D45,D$22:D44,1,0))</f>
        <v>#N/A</v>
      </c>
      <c r="F45" s="223" t="n">
        <f aca="false">($B45*$B$7+$C45*$C$7)/100</f>
        <v>0.0124</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Ranunculus repens</v>
      </c>
      <c r="L45" s="220"/>
      <c r="M45" s="220"/>
      <c r="N45" s="220"/>
      <c r="O45" s="205"/>
      <c r="P45" s="206" t="n">
        <f aca="false">IF(ISTEXT(H45),"",(B45*$B$7/100)+(C45*$C$7/100))</f>
        <v>0.0124</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RAN.REP</v>
      </c>
      <c r="Y45" s="8" t="n">
        <f aca="false">IF(ISERROR(MATCH(A45,'[1]liste reference'!$A$7:$A$906,0)),IF(ISERROR(MATCH(A45,'[1]liste reference'!$B$7:$B$906,0)),"",(MATCH(A45,'[1]liste reference'!$B$7:$B$906,0))),(MATCH(A45,'[1]liste reference'!$A$7:$A$906,0)))</f>
        <v>810</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IF(D68="",0,VLOOKUP(D68,D$22:D52,1,0))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IF(D69="",0,VLOOKUP(D69,D$22:D53,1,0))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IF(D70="",0,VLOOKUP(D70,D$22:D53,1,0))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IF(D71="",0,VLOOKUP(D71,D$22:D69,1,0))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IF(D72="",0,VLOOKUP(D72,D$22:D69,1,0))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IF(D73="",0,VLOOKUP(D73,D$22:D69,1,0))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IF(D74="",0,VLOOKUP(D74,D$22:D59,1,0))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IF(D75="",0,VLOOKUP(D75,D$22:D60,1,0))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IF(D76="",0,VLOOKUP(D76,D$22:D60,1,0))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4"/>
      <c r="M78" s="224"/>
      <c r="N78" s="224"/>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7"/>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IF(D79="",0,VLOOKUP(D79,D$20:D77,1,0))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4"/>
      <c r="M79" s="224"/>
      <c r="N79" s="224"/>
      <c r="O79" s="22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28"/>
      <c r="W79" s="22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AUTHRE</v>
      </c>
      <c r="B84" s="246" t="str">
        <f aca="false">C3</f>
        <v>JUSSAC</v>
      </c>
      <c r="C84" s="247" t="n">
        <f aca="false">A4</f>
        <v>40757</v>
      </c>
      <c r="D84" s="248" t="n">
        <f aca="false">IF(ISERROR(SUM($S$23:$S$82)/SUM($T$23:$T$82)),"",SUM($S$23:$S$82)/SUM($T$23:$T$82))</f>
        <v>9.59183673469388</v>
      </c>
      <c r="E84" s="249" t="n">
        <f aca="false">N13</f>
        <v>23</v>
      </c>
      <c r="F84" s="246" t="n">
        <f aca="false">N14</f>
        <v>22</v>
      </c>
      <c r="G84" s="246" t="n">
        <f aca="false">N15</f>
        <v>11</v>
      </c>
      <c r="H84" s="246" t="n">
        <f aca="false">N16</f>
        <v>11</v>
      </c>
      <c r="I84" s="246" t="n">
        <f aca="false">N17</f>
        <v>0</v>
      </c>
      <c r="J84" s="250" t="n">
        <f aca="false">N8</f>
        <v>9.81818181818182</v>
      </c>
      <c r="K84" s="248" t="n">
        <f aca="false">N9</f>
        <v>3.17184584439504</v>
      </c>
      <c r="L84" s="249" t="n">
        <f aca="false">N10</f>
        <v>4</v>
      </c>
      <c r="M84" s="249" t="n">
        <f aca="false">N11</f>
        <v>15</v>
      </c>
      <c r="N84" s="248" t="n">
        <f aca="false">O8</f>
        <v>1.5</v>
      </c>
      <c r="O84" s="248" t="n">
        <f aca="false">O9</f>
        <v>0.511766315719159</v>
      </c>
      <c r="P84" s="249" t="n">
        <f aca="false">O10</f>
        <v>1</v>
      </c>
      <c r="Q84" s="249" t="n">
        <f aca="false">O11</f>
        <v>2</v>
      </c>
      <c r="R84" s="251" t="n">
        <f aca="false">F21</f>
        <v>21.643</v>
      </c>
      <c r="S84" s="249" t="n">
        <f aca="false">K11</f>
        <v>0</v>
      </c>
      <c r="T84" s="249" t="n">
        <f aca="false">K12</f>
        <v>6</v>
      </c>
      <c r="U84" s="249" t="n">
        <f aca="false">K13</f>
        <v>4</v>
      </c>
      <c r="V84" s="252" t="n">
        <f aca="false">K14</f>
        <v>0</v>
      </c>
      <c r="W84" s="253" t="n">
        <f aca="false">K15</f>
        <v>13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96</v>
      </c>
      <c r="Q86" s="8"/>
      <c r="R86" s="208"/>
      <c r="S86" s="8"/>
      <c r="T86" s="8"/>
      <c r="U86" s="8"/>
    </row>
    <row r="87" customFormat="false" ht="12.75" hidden="true" customHeight="false" outlineLevel="0" collapsed="false">
      <c r="P87" s="8" t="s">
        <v>97</v>
      </c>
      <c r="Q87" s="8"/>
      <c r="R87" s="208" t="n">
        <f aca="false">VLOOKUP(MAX($R$23:$R$82),($R$23:$T$82),1,0)</f>
        <v>40</v>
      </c>
      <c r="S87" s="8"/>
      <c r="T87" s="8"/>
      <c r="U87" s="8"/>
    </row>
    <row r="88" customFormat="false" ht="12.75" hidden="true" customHeight="false" outlineLevel="0" collapsed="false">
      <c r="P88" s="8" t="s">
        <v>98</v>
      </c>
      <c r="Q88" s="8"/>
      <c r="R88" s="208" t="n">
        <f aca="false">VLOOKUP((R87),($R$23:$T$82),2,0)</f>
        <v>80</v>
      </c>
      <c r="S88" s="8"/>
      <c r="T88" s="8"/>
      <c r="U88" s="8"/>
    </row>
    <row r="89" customFormat="false" ht="12.75" hidden="true" customHeight="false" outlineLevel="0" collapsed="false">
      <c r="P89" s="8" t="s">
        <v>99</v>
      </c>
      <c r="Q89" s="8"/>
      <c r="R89" s="208" t="n">
        <f aca="false">VLOOKUP((R87),($R$23:$T$82),3,0)</f>
        <v>8</v>
      </c>
      <c r="S89" s="8"/>
    </row>
    <row r="90" customFormat="false" ht="12.75" hidden="true" customHeight="false" outlineLevel="0" collapsed="false">
      <c r="P90" s="8" t="s">
        <v>100</v>
      </c>
      <c r="Q90" s="8"/>
      <c r="R90" s="255" t="n">
        <f aca="false">IF(ISERROR(SUM($S$23:$S$82)/SUM($T$23:$T$82)),"",(SUM($S$23:$S$82)-R88)/(SUM($T$23:$T$82)-R89))</f>
        <v>9.51219512195122</v>
      </c>
      <c r="S90" s="8"/>
    </row>
    <row r="91" customFormat="false" ht="12.75" hidden="true" customHeight="false" outlineLevel="0" collapsed="false">
      <c r="P91" s="207" t="s">
        <v>101</v>
      </c>
      <c r="Q91" s="207"/>
      <c r="R91" s="207" t="str">
        <f aca="false">INDEX('[1]liste reference'!$A$7:$A$906,$S$91)</f>
        <v>ELO.CAN</v>
      </c>
      <c r="S91" s="8" t="n">
        <f aca="false">IF(ISERROR(MATCH($R$93,'[1]liste reference'!$A$7:$A$906,0)),MATCH($R$93,'[1]liste reference'!$B$7:$B$906,0),(MATCH($R$93,'[1]liste reference'!$A$7:$A$906,0)))</f>
        <v>344</v>
      </c>
      <c r="T91" s="244"/>
    </row>
    <row r="92" customFormat="false" ht="12.75" hidden="true" customHeight="false" outlineLevel="0" collapsed="false">
      <c r="P92" s="8" t="s">
        <v>102</v>
      </c>
      <c r="Q92" s="8"/>
      <c r="R92" s="8" t="n">
        <f aca="false">MATCH(R87,$R$23:$R$82,0)</f>
        <v>12</v>
      </c>
      <c r="S92" s="8"/>
    </row>
    <row r="93" customFormat="false" ht="12.75" hidden="true" customHeight="false" outlineLevel="0" collapsed="false">
      <c r="P93" s="207" t="s">
        <v>103</v>
      </c>
      <c r="Q93" s="8"/>
      <c r="R93" s="207" t="str">
        <f aca="false">INDEX($A$23:$A$82,$R$92)</f>
        <v>ELO.CAN</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2024-03-14T18:08:06Z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