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5088130" sheetId="6" state="visible" r:id="rId8"/>
    <sheet name="jgjg" sheetId="7" state="hidden" r:id="rId9"/>
    <sheet name="liste codes réf" sheetId="8" state="hidden" r:id="rId10"/>
  </sheets>
  <definedNames>
    <definedName function="false" hidden="false" localSheetId="5" name="_xlnm.Print_Area" vbProcedure="false">'05088130'!$A$1:$Q$82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'05088130'!$A$1:$Q$82</definedName>
    <definedName function="false" hidden="false" localSheetId="5" name="_xlnm__FilterDatabase" vbProcedure="false">'05088130'!$A$1:$C$1415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<sst xmlns="http://schemas.openxmlformats.org/spreadsheetml/2006/main" count="8839" uniqueCount="3497">
  <si>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</si>
  <si>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</si>
  <si>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</si>
  <si>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</si>
  <si>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</si>
  <si>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</si>
  <si>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</si>
  <si>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</si>
  <si>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</si>
  <si>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</si>
  <si>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</si>
  <si>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</si>
  <si>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</si>
  <si>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</si>
  <si>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</si>
  <si>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</si>
  <si>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</si>
  <si>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</si>
  <si>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</si>
  <si>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</si>
  <si>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</si>
  <si>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</si>
  <si>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</si>
  <si>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</si>
  <si>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</si>
  <si>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</si>
  <si>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</si>
  <si>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</si>
  <si>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</si>
  <si>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</si>
  <si>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</si>
  <si>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</si>
  <si>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</si>
  <si>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</si>
  <si>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</si>
  <si>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</si>
  <si>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</si>
  <si>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</si>
  <si>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</si>
  <si>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</si>
  <si>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</si>
  <si>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</si>
  <si>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</si>
  <si>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</si>
  <si>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</si>
  <si>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</si>
  <si>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</si>
  <si>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</si>
  <si>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</si>
  <si>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</si>
  <si>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</si>
  <si>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</si>
  <si>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</si>
  <si>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</si>
  <si>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</si>
  <si>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</si>
  <si>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</si>
  <si>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</si>
  <si>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</si>
  <si>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</si>
  <si>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</si>
  <si>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</si>
  <si>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</si>
  <si>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</si>
  <si>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</si>
  <si>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</si>
  <si>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</si>
  <si>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</si>
  <si>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</si>
  <si>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</si>
  <si>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</si>
  <si>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</si>
  <si>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</si>
  <si>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</si>
  <si>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</si>
  <si>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</si>
  <si>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</si>
  <si>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</si>
  <si>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</si>
  <si>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</si>
  <si>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</si>
  <si>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</si>
  <si>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</si>
  <si>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</si>
  <si>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</si>
  <si>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</si>
  <si>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</si>
  <si>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</si>
  <si>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</si>
  <si>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</si>
  <si>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</si>
  <si>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</si>
  <si>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</si>
  <si>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</si>
  <si>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</si>
  <si>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</si>
  <si>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</si>
  <si>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</si>
  <si>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</si>
  <si>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</si>
  <si>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</si>
  <si>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</si>
  <si>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</si>
  <si>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</si>
  <si>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</si>
  <si>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</si>
  <si>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</si>
  <si>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</si>
  <si>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</si>
  <si>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</si>
  <si>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</si>
  <si>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</si>
  <si>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</si>
  <si>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</si>
  <si>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</si>
  <si>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</si>
  <si>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</si>
  <si>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</si>
  <si>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</si>
  <si>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</si>
  <si>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</si>
  <si>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</si>
  <si>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</si>
  <si>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</si>
  <si>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</si>
  <si>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</si>
  <si>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</si>
  <si>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</si>
  <si>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</si>
  <si>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</si>
  <si>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</si>
  <si>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</si>
  <si>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</si>
  <si>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</si>
  <si>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</si>
  <si>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</si>
  <si>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</si>
  <si>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</si>
  <si>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</si>
  <si>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</si>
  <si>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</si>
  <si>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</si>
  <si>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</si>
  <si>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</si>
  <si>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</si>
  <si>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</si>
  <si>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</si>
  <si>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</si>
  <si>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</si>
  <si>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</si>
  <si>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</si>
  <si>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</si>
  <si>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</si>
  <si>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</si>
  <si>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</si>
  <si>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</si>
  <si>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</si>
  <si>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</si>
  <si>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</si>
  <si>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</si>
  <si>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</si>
  <si>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</si>
  <si>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</si>
  <si>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</si>
  <si>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</si>
  <si>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</si>
  <si>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</si>
  <si>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</si>
  <si>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</si>
  <si>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</si>
  <si>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</si>
  <si>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</si>
  <si>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</si>
  <si>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</si>
  <si>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</si>
  <si>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</si>
  <si>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</si>
  <si>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</si>
  <si>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</si>
  <si>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</si>
  <si>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</si>
  <si>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</si>
  <si>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</si>
  <si>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</si>
  <si>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</si>
  <si>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</si>
  <si>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</si>
  <si>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</si>
  <si>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</si>
  <si>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</si>
  <si>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</si>
  <si>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</si>
  <si>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</si>
  <si>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</si>
  <si>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</si>
  <si>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</si>
  <si>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</si>
  <si>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</si>
  <si>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</si>
  <si>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</si>
  <si>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</si>
  <si>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</si>
  <si>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</si>
  <si>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</si>
  <si>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</si>
  <si>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</si>
  <si>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</si>
  <si>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</si>
  <si>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</si>
  <si>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</si>
  <si>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</si>
  <si>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</si>
  <si>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</si>
  <si>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</si>
  <si>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</si>
  <si>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</si>
  <si>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</si>
  <si>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</si>
  <si>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</si>
  <si>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</si>
  <si>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</si>
  <si>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</si>
  <si>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</si>
  <si>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</si>
  <si>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</si>
  <si>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</si>
  <si>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</si>
  <si>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</si>
  <si>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</si>
  <si>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</si>
  <si>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</si>
  <si>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</si>
  <si>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</si>
  <si>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</si>
  <si>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</si>
  <si>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</si>
  <si>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</si>
  <si>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</si>
  <si>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</si>
  <si>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</si>
  <si>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</si>
  <si>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</si>
  <si>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</si>
  <si>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</si>
  <si>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</si>
  <si>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</si>
  <si>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</si>
  <si>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</si>
  <si>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</si>
  <si>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</si>
  <si>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</si>
  <si>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</si>
  <si>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</si>
  <si>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</si>
  <si>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</si>
  <si>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</si>
  <si>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</si>
  <si>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</si>
  <si>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</si>
  <si>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</si>
  <si>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</si>
  <si>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</si>
  <si>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</si>
  <si>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</si>
  <si>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</si>
  <si>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</si>
  <si>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</si>
  <si>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</si>
  <si>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</si>
  <si>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</si>
  <si>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</si>
  <si>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</si>
  <si>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</si>
  <si>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</si>
  <si>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</si>
  <si>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</si>
  <si>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</si>
  <si>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</si>
  <si>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</si>
  <si>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</si>
  <si>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</si>
  <si>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</si>
  <si>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</si>
  <si>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</si>
  <si>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</si>
  <si>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</si>
  <si>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</si>
  <si>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</si>
  <si>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</si>
  <si>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</si>
  <si>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</si>
  <si>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</si>
  <si>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</si>
  <si>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</si>
  <si>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</si>
  <si>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</si>
  <si>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</si>
  <si>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</si>
  <si>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</si>
  <si>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</si>
  <si>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</si>
  <si>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</si>
  <si>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</si>
  <si>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</si>
  <si>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</si>
  <si>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</si>
  <si>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</si>
  <si>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</si>
  <si>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</si>
  <si>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</si>
  <si>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</si>
  <si>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</si>
  <si>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</si>
  <si>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</si>
  <si>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</si>
  <si>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</si>
  <si>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</si>
  <si>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</si>
  <si>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</si>
  <si>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</si>
  <si>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</si>
  <si>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</si>
  <si>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</si>
  <si>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</si>
  <si>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</si>
  <si>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</si>
  <si>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</si>
  <si>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</si>
  <si>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</si>
  <si>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</si>
  <si>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</si>
  <si>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</si>
  <si>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</si>
  <si>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</si>
  <si>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</si>
  <si>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</si>
  <si>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</si>
  <si>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</si>
  <si>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</si>
  <si>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</si>
  <si>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</si>
  <si>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</si>
  <si>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</si>
  <si>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</si>
  <si>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</si>
  <si>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</si>
  <si>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</si>
  <si>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</si>
  <si>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</si>
  <si>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</si>
  <si>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</si>
  <si>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</si>
  <si>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</si>
  <si>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</si>
  <si>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</si>
  <si>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</si>
  <si>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</si>
  <si>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</si>
  <si>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</si>
  <si>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</si>
  <si>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</si>
  <si>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</si>
  <si>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</si>
  <si>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</si>
  <si>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</si>
  <si>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</si>
  <si>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</si>
  <si>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</si>
  <si>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</si>
  <si>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</si>
  <si>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</si>
  <si>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</si>
  <si>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</si>
  <si>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</si>
  <si>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</si>
  <si>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</si>
  <si>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</si>
  <si>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</si>
  <si>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</si>
  <si>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</si>
  <si>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</si>
  <si>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</si>
  <si>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</si>
  <si>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</si>
  <si>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</si>
  <si>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</si>
  <si>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</si>
  <si>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</si>
  <si>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</si>
  <si>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</si>
  <si>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</si>
  <si>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</si>
  <si>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</si>
  <si>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</si>
  <si>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</si>
  <si>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</si>
  <si>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</si>
  <si>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</si>
  <si>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</si>
  <si>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</si>
  <si>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</si>
  <si>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</si>
  <si>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</si>
  <si>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</si>
  <si>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</si>
  <si>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</si>
  <si>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</si>
  <si>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</si>
  <si>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</si>
  <si>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</si>
  <si>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</si>
  <si>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</si>
  <si>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</si>
  <si>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</si>
  <si>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</si>
  <si>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</si>
  <si>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</si>
  <si>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</si>
  <si>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</si>
  <si>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</si>
  <si>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</si>
  <si>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</si>
  <si>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</si>
  <si>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</si>
  <si>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</si>
  <si>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</si>
  <si>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</si>
  <si>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</si>
  <si>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</si>
  <si>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</si>
  <si>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</si>
  <si>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</si>
  <si>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</si>
  <si>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</si>
  <si>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</si>
  <si>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</si>
  <si>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</si>
  <si>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</si>
  <si>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</si>
  <si>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</si>
  <si>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</si>
  <si>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</si>
  <si>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</si>
  <si>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</si>
  <si>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</si>
  <si>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</si>
  <si>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</si>
  <si>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</si>
  <si>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</si>
  <si>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</si>
  <si>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</si>
  <si>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</si>
  <si>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</si>
  <si>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</si>
  <si>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</si>
  <si>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</si>
  <si>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</si>
  <si>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</si>
  <si>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</si>
  <si>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</si>
  <si>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</si>
  <si>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</si>
  <si>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</si>
  <si>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</si>
  <si>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</si>
  <si>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</si>
  <si>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</si>
  <si>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</si>
  <si>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</si>
  <si>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</si>
  <si>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</si>
  <si>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</si>
  <si>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</si>
  <si>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</si>
  <si>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</si>
  <si>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</si>
  <si>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</si>
  <si>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</si>
  <si>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</si>
  <si>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</si>
  <si>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</si>
  <si>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</si>
  <si>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</si>
  <si>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</si>
  <si>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</si>
  <si>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</si>
  <si>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</si>
  <si>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</si>
  <si>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</si>
  <si>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</si>
  <si>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</si>
  <si>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</si>
  <si>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</si>
  <si>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</si>
  <si>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</si>
  <si>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</si>
  <si>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</si>
  <si>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</si>
  <si>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</si>
  <si>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</si>
  <si>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</si>
  <si>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</si>
  <si>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</si>
  <si>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</si>
  <si>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</si>
  <si>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</si>
  <si>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</si>
  <si>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</si>
  <si>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</si>
  <si>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</si>
  <si>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</si>
  <si>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</si>
  <si>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</si>
  <si>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</si>
  <si>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</si>
  <si>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</si>
  <si>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</si>
  <si>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</si>
  <si>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</si>
  <si>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</si>
  <si>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</si>
  <si>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</si>
  <si>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</si>
  <si>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</si>
  <si>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</si>
  <si>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</si>
  <si>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</si>
  <si>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</si>
  <si>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</si>
  <si>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</si>
  <si>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</si>
  <si>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</si>
  <si>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</si>
  <si>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</si>
  <si>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</si>
  <si>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</si>
  <si>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</si>
  <si>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</si>
  <si>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</si>
  <si>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</si>
  <si>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</si>
  <si>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</si>
  <si>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</si>
  <si>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</si>
  <si>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</si>
  <si>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</si>
  <si>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</si>
  <si>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</si>
  <si>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</si>
  <si>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</si>
  <si>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</si>
  <si>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</si>
  <si>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</si>
  <si>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</si>
  <si>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</si>
  <si>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</si>
  <si>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</si>
  <si>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</si>
  <si>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</si>
  <si>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</si>
  <si>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</si>
  <si>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</si>
  <si>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</si>
  <si>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</si>
  <si>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</si>
  <si>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</si>
  <si>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</si>
  <si>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</si>
  <si>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</si>
  <si>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</si>
  <si>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</si>
  <si>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</si>
  <si>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</si>
  <si>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</si>
  <si>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</si>
  <si>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</si>
  <si>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</si>
  <si>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</si>
  <si>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</si>
  <si>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</si>
  <si>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</si>
  <si>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</si>
  <si>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</si>
  <si>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</si>
  <si>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</si>
  <si>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</si>
  <si>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</si>
  <si>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</si>
  <si>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</si>
  <si>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</si>
  <si>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</si>
  <si>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</si>
  <si>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</si>
  <si>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</si>
  <si>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</si>
  <si>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</si>
  <si>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</si>
  <si>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</si>
  <si>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</si>
  <si>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</si>
  <si>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</si>
  <si>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</si>
  <si>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</si>
  <si>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</si>
  <si>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</si>
  <si>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</si>
  <si>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</si>
  <si>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</si>
  <si>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</si>
  <si>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</si>
  <si>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</si>
  <si>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</si>
  <si>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</si>
  <si>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</si>
  <si>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</si>
  <si>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</si>
  <si>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</si>
  <si>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</si>
  <si>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</si>
  <si>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</si>
  <si>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</si>
  <si>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</si>
  <si>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</si>
  <si>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</si>
  <si>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</si>
  <si>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</si>
  <si>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</si>
  <si>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</si>
  <si>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</si>
  <si>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</si>
  <si>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</si>
  <si>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</si>
  <si>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</si>
  <si>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</si>
  <si>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</si>
  <si>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</si>
  <si>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</si>
  <si>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</si>
  <si>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</si>
  <si>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</si>
  <si>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</si>
  <si>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</si>
  <si>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</si>
  <si>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</si>
  <si>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</si>
  <si>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</si>
  <si>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</si>
  <si>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</si>
  <si>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</si>
  <si>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</si>
  <si>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</si>
  <si>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</si>
  <si>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</si>
  <si>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</si>
  <si>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</si>
  <si>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</si>
  <si>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</si>
  <si>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</si>
  <si>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</si>
  <si>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</si>
  <si>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</si>
  <si>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</si>
  <si>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</si>
  <si>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</si>
  <si>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</si>
  <si>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</si>
  <si>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</si>
  <si>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</si>
  <si>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</si>
  <si>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</si>
  <si>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</si>
  <si>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</si>
  <si>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</si>
  <si>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</si>
  <si>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</si>
  <si>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</si>
  <si>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</si>
  <si>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</si>
  <si>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</si>
  <si>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</si>
  <si>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</si>
  <si>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</si>
  <si>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</si>
  <si>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</si>
  <si>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</si>
  <si>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</si>
  <si>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</si>
  <si>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</si>
  <si>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</si>
  <si>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</si>
  <si>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</si>
  <si>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</si>
  <si>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</si>
  <si>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</si>
  <si>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</si>
  <si>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</si>
  <si>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</si>
  <si>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</si>
  <si>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</si>
  <si>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</si>
  <si>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</si>
  <si>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</si>
  <si>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</si>
  <si>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</si>
  <si>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</si>
  <si>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</si>
  <si>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</si>
  <si>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</si>
  <si>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</si>
  <si>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</si>
  <si>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</si>
  <si>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</si>
  <si>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</si>
  <si>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</si>
  <si>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</si>
  <si>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</si>
  <si>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</si>
  <si>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</si>
  <si>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</si>
  <si>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</si>
  <si>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</si>
  <si>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</si>
  <si>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</si>
  <si>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</si>
  <si>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</si>
  <si>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</si>
  <si>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</si>
  <si>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</si>
  <si>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</si>
  <si>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</si>
  <si>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</si>
  <si>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</si>
  <si>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</si>
  <si>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</si>
  <si>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</si>
  <si>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</si>
  <si>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</si>
  <si>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</si>
  <si>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</si>
  <si>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</si>
  <si>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</si>
  <si>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</si>
  <si>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</si>
  <si>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</si>
  <si>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</si>
  <si>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</si>
  <si>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</si>
  <si>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</si>
  <si>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</si>
  <si>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</si>
  <si>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</si>
  <si>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</si>
  <si>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</si>
  <si>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</si>
  <si>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</si>
  <si>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</si>
  <si>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</si>
  <si>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</si>
  <si>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</si>
  <si>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</si>
  <si>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</si>
  <si>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</si>
  <si>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</si>
  <si>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</si>
  <si>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</si>
  <si>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</si>
  <si>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</si>
  <si>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</si>
  <si>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</si>
  <si>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</si>
  <si>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</si>
  <si>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</si>
  <si>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</si>
  <si>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</si>
  <si>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</si>
  <si>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</si>
  <si>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</si>
  <si>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</si>
  <si>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</si>
  <si>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</si>
  <si>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</si>
  <si>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</si>
  <si>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</si>
  <si>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</si>
  <si>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</si>
  <si>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</si>
  <si>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</si>
  <si>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</si>
  <si>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</si>
  <si>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</si>
  <si>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</si>
  <si>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</si>
  <si>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</si>
  <si>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</si>
  <si>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</si>
  <si>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</si>
  <si>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</si>
  <si>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</si>
  <si>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</si>
  <si>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</si>
  <si>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</si>
  <si>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</si>
  <si>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</si>
  <si>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</si>
  <si>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</si>
  <si>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</si>
  <si>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</si>
  <si>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</si>
  <si>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</si>
  <si>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</si>
  <si>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</si>
  <si>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</si>
  <si>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</si>
  <si>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</si>
  <si>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</si>
  <si>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</si>
  <si>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</si>
  <si>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</si>
  <si>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</si>
  <si>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</si>
  <si>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</si>
  <si>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</si>
  <si>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</si>
  <si>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</si>
  <si>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</si>
  <si>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</si>
  <si>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</si>
  <si>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</si>
  <si>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</si>
  <si>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</si>
  <si>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</si>
  <si>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</si>
  <si>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</si>
  <si>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</si>
  <si>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</si>
  <si>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</si>
  <si>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</si>
  <si>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</si>
  <si>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</si>
  <si>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</si>
  <si>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</si>
  <si>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</si>
  <si>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</si>
  <si>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</si>
  <si>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</si>
  <si>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</si>
  <si>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</si>
  <si>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</si>
  <si>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</si>
  <si>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</si>
  <si>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</si>
  <si>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</si>
  <si>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</si>
  <si>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</si>
  <si>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</si>
  <si>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</si>
  <si>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</si>
  <si>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</si>
  <si>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</si>
  <si>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</si>
  <si>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</si>
  <si>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</si>
  <si>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</si>
  <si>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</si>
  <si>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</si>
  <si>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</si>
  <si>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</si>
  <si>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</si>
  <si>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</si>
  <si>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</si>
  <si>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</si>
  <si>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</si>
  <si>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</si>
  <si>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</si>
  <si>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</si>
  <si>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</si>
  <si>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</si>
  <si>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</si>
  <si>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</si>
  <si>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</si>
  <si>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</si>
  <si>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</si>
  <si>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</si>
  <si>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</si>
  <si>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</si>
  <si>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</si>
  <si>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</si>
  <si>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</si>
  <si>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</si>
  <si>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</si>
  <si>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</si>
  <si>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</si>
  <si>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</si>
  <si>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</si>
  <si>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</si>
  <si>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</si>
  <si>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</si>
  <si>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</si>
  <si>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</si>
  <si>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</si>
  <si>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</si>
  <si>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</si>
  <si>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</si>
  <si>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</si>
  <si>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</si>
  <si>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</si>
  <si>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</si>
  <si>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</si>
  <si>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</si>
  <si>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</si>
  <si>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</si>
  <si>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</si>
  <si>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</si>
  <si>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</si>
  <si>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</si>
  <si>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</si>
  <si>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</si>
  <si>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</si>
  <si>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</si>
  <si>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</si>
  <si>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</si>
  <si>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</si>
  <si>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</si>
  <si>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</si>
  <si>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</si>
  <si>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</si>
  <si>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</si>
  <si>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</si>
  <si>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</si>
  <si>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</si>
  <si>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</si>
  <si>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</si>
  <si>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</si>
  <si>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</si>
  <si>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</si>
  <si>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</si>
  <si>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</si>
  <si>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</si>
  <si>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</si>
  <si>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</si>
  <si>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</si>
  <si>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</si>
  <si>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</si>
  <si>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</si>
  <si>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</si>
  <si>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</si>
  <si>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</si>
  <si>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</si>
  <si>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</si>
  <si>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</si>
  <si>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</si>
  <si>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</si>
  <si>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</si>
  <si>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</si>
  <si>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</si>
  <si>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</si>
  <si>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</si>
  <si>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</si>
  <si>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</si>
  <si>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</si>
  <si>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</si>
  <si>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</si>
  <si>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</si>
  <si>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</si>
  <si>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</si>
  <si>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</si>
  <si>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</si>
  <si>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</si>
  <si>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</si>
  <si>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</si>
  <si>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</si>
  <si>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</si>
  <si>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</si>
  <si>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</si>
  <si>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</si>
  <si>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</si>
  <si>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</si>
  <si>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</si>
  <si>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</si>
  <si>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</si>
  <si>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</si>
  <si>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</si>
  <si>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</si>
  <si>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</si>
  <si>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</si>
  <si>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</si>
  <si>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</si>
  <si>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</si>
  <si>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</si>
  <si>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</si>
  <si>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</si>
  <si>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</si>
  <si>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</si>
  <si>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</si>
  <si>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</si>
  <si>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</si>
  <si>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</si>
  <si>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</si>
  <si>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</si>
  <si>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</si>
  <si>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</si>
  <si>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</si>
  <si>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</si>
  <si>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</si>
  <si>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</si>
  <si>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</si>
  <si>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</si>
  <si>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</si>
  <si>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</si>
  <si>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</si>
  <si>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</si>
  <si>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</si>
  <si>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</si>
  <si>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</si>
  <si>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</si>
  <si>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</si>
  <si>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</si>
  <si>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</si>
  <si>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</si>
  <si>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</si>
  <si>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</si>
  <si>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</si>
  <si>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</si>
  <si>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</si>
  <si>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</si>
  <si>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</si>
  <si>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</si>
  <si>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</si>
  <si>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</si>
  <si>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</si>
  <si>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</si>
  <si>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</si>
  <si>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</si>
  <si>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</si>
  <si>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</si>
  <si>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</si>
  <si>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</si>
  <si>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</si>
  <si>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</si>
  <si>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</si>
  <si>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</si>
  <si>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</si>
  <si>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</si>
  <si>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</si>
  <si>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</si>
  <si>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</si>
  <si>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</si>
  <si>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</si>
  <si>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</si>
  <si>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</si>
  <si>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</si>
  <si>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</si>
  <si>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</si>
  <si>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</si>
  <si>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</si>
  <si>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</si>
  <si>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</si>
  <si>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</si>
  <si>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</si>
  <si>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</si>
  <si>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</si>
  <si>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</si>
  <si>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</si>
  <si>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</si>
  <si>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</si>
  <si>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</si>
  <si>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</si>
  <si>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</si>
  <si>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</si>
  <si>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</si>
  <si>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</si>
  <si>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</si>
  <si>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</si>
  <si>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</si>
  <si>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</si>
  <si>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</si>
  <si>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</si>
  <si>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</si>
  <si>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</si>
  <si>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</si>
  <si>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</si>
  <si>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</si>
  <si>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</si>
  <si>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</si>
  <si>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</si>
  <si>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</si>
  <si>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</si>
  <si>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</si>
  <si>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</si>
  <si>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</si>
  <si>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</si>
  <si>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</si>
  <si>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</si>
  <si>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</si>
  <si>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</si>
  <si>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</si>
  <si>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</si>
  <si>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</si>
  <si>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</si>
  <si>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</si>
  <si>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</si>
  <si>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</si>
  <si>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</si>
  <si>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</si>
  <si>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</si>
  <si>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</si>
  <si>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</si>
  <si>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</si>
  <si>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</si>
  <si>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</si>
  <si>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</si>
  <si>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</si>
  <si>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</si>
  <si>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</si>
  <si>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</si>
  <si>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</si>
  <si>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</si>
  <si>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</si>
  <si>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</si>
  <si>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</si>
  <si>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</si>
  <si>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</si>
  <si>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</si>
  <si>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</si>
  <si>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</si>
  <si>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</si>
  <si>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</si>
  <si>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</si>
  <si>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</si>
  <si>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</si>
  <si>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</si>
  <si>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</si>
  <si>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</si>
  <si>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</si>
  <si>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</si>
  <si>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</si>
  <si>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</si>
  <si>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</si>
  <si>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</si>
  <si>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</si>
  <si>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</si>
  <si>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</si>
  <si>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</si>
  <si>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</si>
  <si>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</si>
  <si>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</si>
  <si>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</si>
  <si>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</si>
  <si>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</si>
  <si>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</si>
  <si>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</si>
  <si>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</si>
  <si>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</si>
  <si>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</si>
  <si>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</si>
  <si>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</si>
  <si>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</si>
  <si>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</si>
  <si>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</si>
  <si>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</si>
  <si>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</si>
  <si>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</si>
  <si>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</si>
  <si>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</si>
  <si>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</si>
  <si>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</si>
  <si>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</si>
  <si>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</si>
  <si>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</si>
  <si>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</si>
  <si>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</si>
  <si>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</si>
  <si>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</si>
  <si>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</si>
  <si>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</si>
  <si>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</si>
  <si>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</si>
  <si>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</si>
  <si>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</si>
  <si>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</si>
  <si>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</si>
  <si>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</si>
  <si>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</si>
  <si>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</si>
  <si>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</si>
  <si>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</si>
  <si>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</si>
  <si>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</si>
  <si>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</si>
  <si>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</si>
  <si>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</si>
  <si>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</si>
  <si>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</si>
  <si>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</si>
  <si>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</si>
  <si>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</si>
  <si>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</si>
  <si>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</si>
  <si>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</si>
  <si>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</si>
  <si>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</si>
  <si>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</si>
  <si>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</si>
  <si>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</si>
  <si>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</si>
  <si>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</si>
  <si>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</si>
  <si>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</si>
  <si>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</si>
  <si>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</si>
  <si>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</si>
  <si>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</si>
  <si>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</si>
  <si>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</si>
  <si>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</si>
  <si>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</si>
  <si>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</si>
  <si>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</si>
  <si>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</si>
  <si>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</si>
  <si>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</si>
  <si>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</si>
  <si>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</si>
  <si>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</si>
  <si>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</si>
  <si>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</si>
  <si>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</si>
  <si>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</si>
  <si>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</si>
  <si>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</si>
  <si>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</si>
  <si>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</si>
  <si>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</si>
  <si>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</si>
  <si>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</si>
  <si>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</si>
  <si>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</si>
  <si>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</si>
  <si>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</si>
  <si>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</si>
  <si>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</si>
  <si>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</si>
  <si>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</si>
  <si>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</si>
  <si>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</si>
  <si>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</si>
  <si>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</si>
  <si>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</si>
  <si>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</si>
  <si>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</si>
  <si>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</si>
  <si>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</si>
  <si>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</si>
  <si>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</si>
  <si>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</si>
  <si>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</si>
  <si>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</si>
  <si>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</si>
  <si>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</si>
  <si>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</si>
  <si>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</si>
  <si>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</si>
  <si>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</si>
  <si>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</si>
  <si>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</si>
  <si>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</si>
  <si>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</si>
  <si>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</si>
  <si>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</si>
  <si>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</si>
  <si>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</si>
  <si>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</si>
  <si>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</si>
  <si>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</si>
  <si>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</si>
  <si>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</si>
  <si>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</si>
  <si>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</si>
  <si>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</si>
  <si>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</si>
  <si>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</si>
  <si>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</si>
  <si>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</si>
  <si>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</si>
  <si>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</si>
  <si>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</si>
  <si>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</si>
  <si>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</si>
  <si>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</si>
  <si>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</si>
  <si>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</si>
  <si>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</si>
  <si>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</si>
  <si>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</si>
  <si>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</si>
  <si>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</si>
  <si>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</si>
  <si>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</si>
  <si>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</si>
  <si>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</si>
  <si>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</si>
  <si>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</si>
  <si>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</si>
  <si>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</si>
  <si>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</si>
  <si>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</si>
  <si>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</si>
  <si>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</si>
  <si>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</si>
  <si>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</si>
  <si>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</si>
  <si>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</si>
  <si>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</si>
  <si>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</si>
  <si>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</si>
  <si>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</si>
  <si>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</si>
  <si>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</si>
  <si>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</si>
  <si>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</si>
  <si>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</si>
  <si>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</si>
  <si>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</si>
  <si>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</si>
  <si>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</si>
  <si>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</si>
  <si>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</si>
  <si>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</si>
  <si>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</si>
  <si>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</si>
  <si>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</si>
  <si>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</si>
  <si>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</si>
  <si>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</si>
  <si>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</si>
  <si>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</si>
  <si>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</si>
  <si>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</si>
  <si>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</si>
  <si>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</si>
  <si>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</si>
  <si>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</si>
  <si>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</si>
  <si>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</si>
  <si>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</si>
  <si>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</si>
  <si>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</si>
  <si>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</si>
  <si>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</si>
  <si>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</si>
  <si>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</si>
  <si>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</si>
  <si>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</si>
  <si>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</si>
  <si>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</si>
  <si>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</si>
  <si>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</si>
  <si>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</si>
  <si>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</si>
  <si>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</si>
  <si>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</si>
  <si>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</si>
  <si>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</si>
  <si>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</si>
  <si>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</si>
  <si>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</si>
  <si>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</si>
  <si>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</si>
  <si>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</si>
  <si>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</si>
  <si>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</si>
  <si>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</si>
  <si>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</si>
  <si>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</si>
  <si>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</si>
  <si>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</si>
  <si>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</si>
  <si>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</si>
  <si>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</si>
  <si>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</si>
  <si>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</si>
  <si>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</si>
  <si>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</si>
  <si>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</si>
  <si>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</si>
  <si>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</si>
  <si>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</si>
  <si>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</si>
  <si>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</si>
  <si>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</si>
  <si>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</si>
  <si>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</si>
  <si>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</si>
  <si>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</si>
  <si>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</si>
  <si>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</si>
  <si>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</si>
  <si>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</si>
  <si>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</si>
  <si>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</si>
  <si>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</si>
  <si>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</si>
  <si>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</si>
  <si>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</si>
  <si>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</si>
  <si>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</si>
  <si>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</si>
  <si>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</si>
  <si>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</si>
  <si>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</si>
  <si>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</si>
  <si>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</si>
  <si>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</si>
  <si>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</si>
  <si>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</si>
  <si>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</si>
  <si>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</si>
  <si>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</si>
  <si>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</si>
  <si>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</si>
  <si>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</si>
  <si>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</si>
  <si>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</si>
  <si>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</si>
  <si>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</si>
  <si>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</si>
  <si>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</si>
  <si>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</si>
  <si>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</si>
  <si>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</si>
  <si>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</si>
  <si>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</si>
  <si>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</si>
  <si>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</si>
  <si>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</si>
  <si>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</si>
  <si>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</si>
  <si>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</si>
  <si>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</si>
  <si>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</si>
  <si>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</si>
  <si>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</si>
  <si>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</si>
  <si>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</si>
  <si>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</si>
  <si>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</si>
  <si>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</si>
  <si>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</si>
  <si>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</si>
  <si>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</si>
  <si>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</si>
  <si>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</si>
  <si>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</si>
  <si>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</si>
  <si>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</si>
  <si>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</si>
  <si>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</si>
  <si>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</si>
  <si>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</si>
  <si>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</si>
  <si>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</si>
  <si>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</si>
  <si>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</si>
  <si>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</si>
  <si>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</si>
  <si>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</si>
  <si>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</si>
  <si>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</si>
  <si>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</si>
  <si>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</si>
  <si>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</si>
  <si>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</si>
  <si>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</si>
  <si>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</si>
  <si>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</si>
  <si>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</si>
  <si>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</si>
  <si>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</si>
  <si>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</si>
  <si>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</si>
  <si>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</si>
  <si>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</si>
  <si>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</si>
  <si>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</si>
  <si>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</si>
  <si>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</si>
  <si>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</si>
  <si>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</si>
  <si>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</si>
  <si>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</si>
  <si>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</si>
  <si>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</si>
  <si>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</si>
  <si>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</si>
  <si>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</si>
  <si>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</si>
  <si>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</si>
  <si>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</si>
  <si>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</si>
  <si>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</si>
  <si>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</si>
  <si>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</si>
  <si>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</si>
  <si>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</si>
  <si>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</si>
  <si>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</si>
  <si>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</si>
  <si>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</si>
  <si>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</si>
  <si>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</si>
  <si>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</si>
  <si>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</si>
  <si>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</si>
  <si>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</si>
  <si>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</si>
  <si>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</si>
  <si>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</si>
  <si>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</si>
  <si>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</si>
  <si>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</si>
  <si>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</si>
  <si>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</si>
  <si>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</si>
  <si>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</si>
  <si>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</si>
  <si>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</si>
  <si>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</si>
  <si>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</si>
  <si>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</si>
  <si>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</si>
  <si>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</si>
  <si>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</si>
  <si>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</si>
  <si>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</si>
  <si>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</si>
  <si>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</si>
  <si>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</si>
  <si>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</si>
  <si>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</si>
  <si>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</si>
  <si>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</si>
  <si>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</si>
  <si>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</si>
  <si>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</si>
  <si>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</si>
  <si>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</si>
  <si>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</si>
  <si>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</si>
  <si>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</si>
  <si>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</si>
  <si>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</si>
  <si>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</si>
  <si>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</si>
  <si>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</si>
  <si>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</si>
  <si>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</si>
  <si>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</si>
  <si>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</si>
  <si>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</si>
  <si>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</si>
  <si>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</si>
  <si>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</si>
  <si>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</si>
  <si>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</si>
  <si>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</si>
  <si>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</si>
  <si>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</si>
  <si>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</si>
  <si>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</si>
  <si>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</si>
  <si>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</si>
  <si>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</si>
  <si>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</si>
  <si>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</si>
  <si>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</si>
  <si>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</si>
  <si>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</si>
  <si>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</si>
  <si>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</si>
  <si>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</si>
  <si>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</si>
  <si>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</si>
  <si>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</si>
  <si>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</si>
  <si>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</si>
  <si>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</si>
  <si>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</si>
  <si>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</si>
  <si>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</si>
  <si>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</si>
  <si>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</si>
  <si>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</si>
  <si>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</si>
  <si>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</si>
  <si>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</si>
  <si>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</si>
  <si>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</si>
  <si>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</si>
  <si>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</si>
  <si>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</si>
  <si>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</si>
  <si>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</si>
  <si>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</si>
  <si>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</si>
  <si>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</si>
  <si>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</si>
  <si>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</si>
  <si>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</si>
  <si>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</si>
  <si>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</si>
  <si>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</si>
  <si>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</si>
  <si>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</si>
  <si>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</si>
  <si>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</si>
  <si>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</si>
  <si>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</si>
  <si>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</si>
  <si>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</si>
  <si>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</si>
  <si>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</si>
  <si>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</si>
  <si>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</si>
  <si>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</si>
  <si>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</si>
  <si>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</si>
  <si>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</si>
  <si>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</si>
  <si>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</si>
  <si>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</si>
  <si>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</si>
  <si>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</si>
  <si>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</si>
  <si>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</si>
  <si>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</si>
  <si>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</si>
  <si>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</si>
  <si>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</si>
  <si>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</si>
  <si>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</si>
  <si>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</si>
  <si>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</si>
  <si>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</si>
  <si>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</si>
  <si>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</si>
  <si>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</si>
  <si>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</si>
  <si>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</si>
  <si>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</si>
  <si>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</si>
  <si>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</si>
  <si>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</si>
  <si>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</si>
  <si>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</si>
  <si>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</si>
  <si>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</si>
  <si>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</si>
  <si>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</si>
  <si>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</si>
  <si>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</si>
  <si>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</si>
  <si>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</si>
  <si>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</si>
  <si>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</si>
  <si>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</si>
  <si>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</si>
  <si>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</si>
  <si>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</si>
  <si>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</si>
  <si>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</si>
  <si>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</si>
  <si>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</si>
  <si>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</si>
  <si>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</si>
  <si>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</si>
  <si>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</si>
  <si>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</si>
  <si>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</si>
  <si>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</si>
  <si>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</si>
  <si>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</si>
  <si>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</si>
  <si>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</si>
  <si>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</si>
  <si>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</si>
  <si>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</si>
  <si>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</si>
  <si>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</si>
  <si>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</si>
  <si>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</si>
  <si>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</si>
  <si>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</si>
  <si>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</si>
  <si>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</si>
  <si>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</si>
  <si>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</si>
  <si>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</si>
  <si>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</si>
  <si>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</si>
  <si>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</si>
  <si>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</si>
  <si>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</si>
  <si>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</si>
  <si>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</si>
  <si>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</si>
  <si>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</si>
  <si>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</si>
  <si>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</si>
  <si>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</si>
  <si>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</si>
  <si>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</si>
  <si>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</si>
  <si>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</si>
  <si>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</si>
  <si>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</si>
  <si>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</si>
  <si>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</si>
  <si>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</si>
  <si>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</si>
  <si>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</si>
  <si>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</si>
  <si>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</si>
  <si>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</si>
  <si>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</si>
  <si>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</si>
  <si>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</si>
  <si>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</si>
  <si>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</si>
  <si>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</si>
  <si>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</si>
  <si>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</si>
  <si>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</si>
  <si>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</si>
  <si>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</si>
  <si>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</si>
  <si>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</si>
  <si>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</si>
  <si>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</si>
  <si>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</si>
  <si>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</si>
  <si>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</si>
  <si>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</si>
  <si>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</si>
  <si>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</si>
  <si>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</si>
  <si>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</si>
  <si>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</si>
  <si>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</si>
  <si>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</si>
  <si>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</si>
  <si>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</si>
  <si>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</si>
  <si>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</si>
  <si>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</si>
  <si>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</si>
  <si>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</si>
  <si>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</si>
  <si>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</si>
  <si>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</si>
  <si>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</si>
  <si>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</si>
  <si>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</si>
  <si>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</si>
  <si>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</si>
  <si>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</si>
  <si>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</si>
  <si>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</si>
  <si>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</si>
  <si>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</si>
  <si>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</si>
  <si>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</si>
  <si>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</si>
  <si>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</si>
  <si>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</si>
  <si>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</si>
  <si>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</si>
  <si>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</si>
  <si>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</si>
  <si>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</si>
  <si>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</si>
  <si>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</si>
  <si>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</si>
  <si>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</si>
  <si>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</si>
  <si>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</si>
  <si>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</si>
  <si>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</si>
  <si>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</si>
  <si>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</si>
  <si>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</si>
  <si>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</si>
  <si>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</si>
  <si>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</si>
  <si>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</si>
  <si>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</si>
  <si>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</si>
  <si>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</si>
  <si>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</si>
  <si>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</si>
  <si>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</si>
  <si>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</si>
  <si>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</si>
  <si>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</si>
  <si>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</si>
  <si>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</si>
  <si>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</si>
  <si>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</si>
  <si>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</si>
  <si>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</si>
  <si>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</si>
  <si>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</si>
  <si>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</si>
  <si>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</si>
  <si>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</si>
  <si>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</si>
  <si>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</si>
  <si>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</si>
  <si>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</si>
  <si>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</si>
  <si>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</si>
  <si>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</si>
  <si>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</si>
  <si>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</si>
  <si>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</si>
  <si>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</si>
  <si>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</si>
  <si>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</si>
  <si>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</si>
  <si>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</si>
  <si>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</si>
  <si>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</si>
  <si>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</si>
  <si>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</si>
  <si>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</si>
  <si>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</si>
  <si>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</si>
  <si>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</si>
  <si>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</si>
  <si>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</si>
  <si>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</si>
  <si>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</si>
  <si>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</si>
  <si>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</si>
  <si>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</si>
  <si>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</si>
  <si>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</si>
  <si>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</si>
  <si>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</si>
  <si>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</si>
  <si>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</si>
  <si>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</si>
  <si>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</si>
  <si>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</si>
  <si>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</si>
  <si>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</si>
  <si>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</si>
  <si>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</si>
  <si>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</si>
  <si>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</si>
  <si>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</si>
  <si>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</si>
  <si>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</si>
  <si>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</si>
  <si>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</si>
  <si>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</si>
  <si>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</si>
  <si>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</si>
  <si>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</si>
  <si>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</si>
  <si>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</si>
  <si>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</si>
  <si>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</si>
  <si>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</si>
  <si>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</si>
  <si>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</si>
  <si>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</si>
  <si>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</si>
  <si>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</si>
  <si>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</si>
  <si>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</si>
  <si>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</si>
  <si>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</si>
  <si>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</si>
  <si>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</si>
  <si>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</si>
  <si>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</si>
  <si>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</si>
  <si>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</si>
  <si>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</si>
  <si>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</si>
  <si>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</si>
  <si>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</si>
  <si>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</si>
  <si>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</si>
  <si>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</si>
  <si>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</si>
  <si>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</si>
  <si>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</si>
  <si>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</si>
  <si>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</si>
  <si>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</si>
  <si>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</si>
  <si>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</si>
  <si>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</si>
  <si>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</si>
  <si>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</si>
  <si>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</si>
  <si>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</si>
  <si>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</si>
  <si>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</si>
  <si>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</si>
  <si>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</si>
  <si>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</si>
  <si>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</si>
  <si>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</si>
  <si>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</si>
  <si>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</si>
  <si>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</si>
  <si>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</si>
  <si>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</si>
  <si>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</si>
  <si>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</si>
  <si>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</si>
  <si>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</si>
  <si>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</si>
  <si>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</si>
  <si>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</si>
  <si>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</si>
  <si>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</si>
  <si>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</si>
  <si>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</si>
  <si>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</si>
  <si>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</si>
  <si>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</si>
  <si>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</si>
  <si>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</si>
  <si>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</si>
  <si>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</si>
  <si>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</si>
  <si>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</si>
  <si>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</si>
  <si>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</si>
  <si>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</si>
  <si>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</si>
  <si>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</si>
  <si>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</si>
  <si>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</si>
  <si>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</si>
  <si>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</si>
  <si>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</si>
  <si>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</si>
  <si>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</si>
  <si>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</si>
  <si>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</si>
  <si>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</si>
  <si>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</si>
  <si>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</si>
  <si>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</si>
  <si>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</si>
  <si>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</si>
  <si>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</si>
  <si>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</si>
  <si>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</si>
  <si>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</si>
  <si>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</si>
  <si>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</si>
  <si>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</si>
  <si>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</si>
  <si>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</si>
  <si>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</si>
  <si>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</si>
  <si>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</si>
  <si>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</si>
  <si>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</si>
  <si>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</si>
  <si>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</si>
  <si>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</si>
  <si>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</si>
  <si>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</si>
  <si>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</si>
  <si>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</si>
  <si>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</si>
  <si>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</si>
  <si>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</si>
  <si>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</si>
  <si>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</si>
  <si>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</si>
  <si>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</si>
  <si>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</si>
  <si>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</si>
  <si>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</si>
  <si>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</si>
  <si>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</si>
  <si>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</si>
  <si>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</si>
  <si>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</si>
  <si>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</si>
  <si>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</si>
  <si>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</si>
  <si>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</si>
  <si>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</si>
  <si>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</si>
  <si>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</si>
  <si>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</si>
  <si>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</si>
  <si>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</si>
  <si>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</si>
  <si>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</si>
  <si>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</si>
  <si>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</si>
  <si>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</si>
  <si>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</si>
  <si>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</si>
  <si>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</si>
  <si>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</si>
  <si>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</si>
  <si>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</si>
  <si>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</si>
  <si>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</si>
  <si>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</si>
  <si>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</si>
  <si>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</si>
  <si>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</si>
  <si>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</si>
  <si>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</si>
  <si>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</si>
  <si>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</si>
  <si>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</si>
  <si>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</si>
  <si>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</si>
  <si>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</si>
  <si>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</si>
  <si>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</si>
  <si>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</si>
  <si>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</si>
  <si>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</si>
  <si>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</si>
  <si>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</si>
  <si>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</si>
  <si>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</si>
  <si>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</si>
  <si>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</si>
  <si>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</si>
  <si>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</si>
  <si>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</si>
  <si>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</si>
  <si>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</si>
  <si>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</si>
  <si>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</si>
  <si>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</si>
  <si>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</si>
  <si>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</si>
  <si>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</si>
  <si>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</si>
  <si>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</si>
  <si>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</si>
  <si>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</si>
  <si>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</si>
  <si>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</si>
  <si>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</si>
  <si>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</si>
  <si>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</si>
  <si>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</si>
  <si>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</si>
  <si>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</si>
  <si>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</si>
  <si>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</si>
  <si>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</si>
  <si>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</si>
  <si>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</si>
  <si>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</si>
  <si>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</si>
  <si>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</si>
  <si>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</si>
  <si>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</si>
  <si>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</si>
  <si>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</si>
  <si>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</si>
  <si>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</si>
  <si>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</si>
  <si>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</si>
  <si>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</si>
  <si>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</si>
  <si>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</si>
  <si>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</si>
  <si>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</si>
  <si>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</si>
  <si>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</si>
  <si>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</si>
  <si>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</si>
  <si>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</si>
  <si>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</si>
  <si>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</si>
  <si>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</si>
  <si>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</si>
  <si>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</si>
  <si>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</si>
  <si>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</si>
  <si>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</si>
  <si>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</si>
  <si>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</si>
  <si>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</si>
  <si>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</si>
  <si>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</si>
  <si>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</si>
  <si>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</si>
  <si>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</si>
  <si>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</si>
  <si>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</si>
  <si>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</si>
  <si>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</si>
  <si>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</si>
  <si>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</si>
  <si>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</si>
  <si>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</si>
  <si>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</si>
  <si>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</si>
  <si>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</si>
  <si>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</si>
  <si>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</si>
  <si>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</si>
  <si>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</si>
  <si>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</si>
  <si>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</si>
  <si>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</si>
  <si>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</si>
  <si>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</si>
  <si>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</si>
  <si>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</si>
  <si>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</si>
  <si>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</si>
  <si>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</si>
  <si>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</si>
  <si>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</si>
  <si>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</si>
  <si>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</si>
  <si>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</si>
  <si>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</si>
  <si>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</si>
  <si>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</si>
  <si>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</si>
  <si>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</si>
  <si>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</si>
  <si>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</si>
  <si>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</si>
  <si>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</si>
  <si>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</si>
  <si>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</si>
  <si>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</si>
  <si>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</si>
  <si>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</si>
  <si>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</si>
  <si>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</si>
  <si>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</si>
  <si>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</si>
  <si>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</si>
  <si>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</si>
  <si>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</si>
  <si>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</si>
  <si>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</si>
  <si>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</si>
  <si>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</si>
  <si>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</si>
  <si>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</si>
  <si>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</si>
  <si>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</si>
  <si>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</si>
  <si>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</si>
  <si>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</si>
  <si>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</si>
  <si>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</si>
  <si>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</si>
  <si>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</si>
  <si>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</si>
  <si>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</si>
  <si>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</si>
  <si>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</si>
  <si>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</si>
  <si>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</si>
  <si>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</si>
  <si>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</si>
  <si>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</si>
  <si>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</si>
  <si>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</si>
  <si>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</si>
  <si>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</si>
  <si>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</si>
  <si>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</si>
  <si>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</si>
  <si>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</si>
  <si>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</si>
  <si>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</si>
  <si>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</si>
  <si>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</si>
  <si>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</si>
  <si>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</si>
  <si>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</si>
  <si>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</si>
  <si>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</si>
  <si>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</si>
  <si>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</si>
  <si>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</si>
  <si>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</si>
  <si>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</si>
  <si>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</si>
  <si>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</si>
  <si>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</si>
  <si>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</si>
  <si>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</si>
  <si>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</si>
  <si>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</si>
  <si>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</si>
  <si>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</si>
  <si>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</si>
  <si>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</si>
  <si>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</si>
  <si>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</si>
  <si>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</si>
  <si>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</si>
  <si>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</si>
  <si>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</si>
  <si>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</si>
  <si>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</si>
  <si>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</si>
  <si>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</si>
  <si>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</si>
  <si>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</si>
  <si>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</si>
  <si>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</si>
  <si>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</si>
  <si>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</si>
  <si>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</si>
  <si>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</si>
  <si>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</si>
  <si>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</si>
  <si>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</si>
  <si>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</si>
  <si>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</si>
  <si>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</si>
  <si>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</si>
  <si>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</si>
  <si>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</si>
  <si>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</si>
  <si>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</si>
  <si>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</si>
  <si>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</si>
  <si>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</si>
  <si>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</si>
  <si>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</si>
  <si>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</si>
  <si>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</si>
  <si>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</si>
  <si>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</si>
  <si>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</si>
  <si>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</si>
  <si>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</si>
  <si>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</si>
  <si>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</si>
  <si>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</si>
  <si>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</si>
  <si>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</si>
  <si>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</si>
  <si>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</si>
  <si>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</si>
  <si>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</si>
  <si>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</si>
  <si>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</si>
  <si>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</si>
  <si>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</si>
  <si>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</si>
  <si>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</si>
  <si>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</si>
  <si>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</si>
  <si>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</si>
  <si>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</si>
  <si>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</si>
  <si>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</si>
  <si>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</si>
  <si>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</si>
  <si>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</si>
  <si>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</si>
  <si>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</si>
  <si>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</si>
  <si>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</si>
  <si>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</si>
  <si>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</si>
  <si>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</si>
  <si>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</si>
  <si>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</si>
  <si>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</si>
  <si>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</si>
  <si>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</si>
  <si>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</si>
  <si>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</si>
  <si>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</si>
  <si>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</si>
  <si>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</si>
  <si>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</si>
  <si>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</si>
  <si>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</si>
  <si>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</si>
  <si>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</si>
  <si>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</si>
  <si>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</si>
  <si>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</si>
  <si>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</si>
  <si>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</si>
  <si>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</si>
  <si>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</si>
  <si>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</si>
  <si>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</si>
  <si>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</si>
  <si>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</si>
  <si>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</si>
  <si>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</si>
  <si>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</si>
  <si>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</si>
  <si>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</si>
  <si>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</si>
  <si>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</si>
  <si>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</si>
  <si>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</si>
  <si>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</si>
  <si>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</si>
  <si>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</si>
  <si>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</si>
  <si>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</si>
  <si>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</si>
  <si>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</si>
  <si>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</si>
  <si>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</si>
  <si>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</si>
  <si>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</si>
  <si>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</si>
  <si>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</si>
  <si>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</si>
  <si>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</si>
  <si>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</si>
  <si>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</si>
  <si>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</si>
  <si>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</si>
  <si>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</si>
  <si>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</si>
  <si>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</si>
  <si>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</si>
  <si>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</si>
  <si>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</si>
  <si>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</si>
  <si>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</si>
  <si>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</si>
  <si>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</si>
  <si>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</si>
  <si>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</si>
  <si>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</si>
  <si>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</si>
  <si>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</si>
  <si>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</si>
  <si>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</si>
  <si>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</si>
  <si>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</si>
  <si>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</si>
  <si>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</si>
  <si>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</si>
  <si>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</si>
  <si>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</si>
  <si>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</si>
  <si>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</si>
  <si>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</si>
  <si>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</si>
  <si>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</si>
  <si>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</si>
  <si>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</si>
  <si>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</si>
  <si>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</si>
  <si>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</si>
  <si>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</si>
  <si>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</si>
  <si>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</si>
  <si>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</si>
  <si>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</si>
  <si>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</si>
  <si>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</si>
  <si>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</si>
  <si>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</si>
  <si>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</si>
  <si>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</si>
  <si>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</si>
  <si>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</si>
  <si>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</si>
  <si>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</si>
  <si>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</si>
  <si>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</si>
  <si>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</si>
  <si>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</si>
  <si>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</si>
  <si>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</si>
  <si>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</si>
  <si>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</si>
  <si>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</si>
  <si>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</si>
  <si>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</si>
  <si>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</si>
  <si>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</si>
  <si>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</si>
  <si>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</si>
  <si>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</si>
  <si>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</si>
  <si>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</si>
  <si>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</si>
  <si>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</si>
  <si>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</si>
  <si>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</si>
  <si>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</si>
  <si>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</si>
  <si>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</si>
  <si>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</si>
  <si>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</si>
  <si>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</si>
  <si>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</si>
  <si>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</si>
  <si>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</si>
  <si>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</si>
  <si>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</si>
  <si>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</si>
  <si>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</si>
  <si>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</si>
  <si>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</si>
  <si>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</si>
  <si>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</si>
  <si>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</si>
  <si>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</si>
  <si>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</si>
  <si>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</si>
  <si>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</si>
  <si>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</si>
  <si>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</si>
  <si>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</si>
  <si>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</si>
  <si>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</si>
  <si>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</si>
  <si>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</si>
  <si>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</si>
  <si>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</si>
  <si>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</si>
  <si>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</si>
  <si>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</si>
  <si>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</si>
  <si>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</si>
  <si>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</si>
  <si>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</si>
  <si>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</si>
  <si>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</si>
  <si>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</si>
  <si>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</si>
  <si>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</si>
  <si>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</si>
  <si>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</si>
  <si>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</si>
  <si>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</si>
  <si>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</si>
  <si>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</si>
  <si>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</si>
  <si>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</si>
  <si>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</si>
  <si>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</si>
  <si>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</si>
  <si>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</si>
  <si>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</si>
  <si>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</si>
  <si>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</si>
  <si>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</si>
  <si>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</si>
  <si>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</si>
  <si>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</si>
  <si>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</si>
  <si>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</si>
  <si>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</si>
  <si>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</si>
  <si>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</si>
  <si>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</si>
  <si>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</si>
  <si>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</si>
  <si>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</si>
  <si>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</si>
  <si>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</si>
  <si>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</si>
  <si>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</si>
  <si>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</si>
  <si>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</si>
  <si>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</si>
  <si>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</si>
  <si>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</si>
  <si>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</si>
  <si>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</si>
  <si>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</si>
  <si>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</si>
  <si>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</si>
  <si>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</si>
  <si>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</si>
  <si>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</si>
  <si>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</si>
  <si>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</si>
  <si>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</si>
  <si>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</si>
  <si>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</si>
  <si>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</si>
  <si>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</si>
  <si>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</si>
  <si>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</si>
  <si>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</si>
  <si>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</si>
  <si>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</si>
  <si>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</si>
  <si>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</si>
  <si>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</si>
  <si>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</si>
  <si>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</si>
  <si>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</si>
  <si>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</si>
  <si>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</si>
  <si>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</si>
  <si>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</si>
  <si>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</si>
  <si>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</si>
  <si>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</si>
  <si>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</si>
  <si>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</si>
  <si>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</si>
  <si>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</si>
  <si>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</si>
  <si>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</si>
  <si>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</si>
  <si>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</si>
  <si>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</si>
  <si>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</si>
  <si>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</si>
  <si>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</si>
  <si>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</si>
  <si>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</si>
  <si>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</si>
  <si>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</si>
  <si>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</si>
  <si>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</si>
  <si>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</si>
  <si>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</si>
  <si>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</si>
  <si>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</si>
  <si>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</si>
  <si>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</si>
  <si>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</si>
  <si>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</si>
  <si>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</si>
  <si>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</si>
  <si>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</si>
  <si>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</si>
  <si>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</si>
  <si>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</si>
  <si>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</si>
  <si>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</si>
  <si>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</si>
  <si>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</si>
  <si>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</si>
  <si>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</si>
  <si>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</si>
  <si>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</si>
  <si>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</si>
  <si>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</si>
  <si>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</si>
  <si>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</si>
  <si>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</si>
  <si>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</si>
  <si>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</si>
  <si>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</si>
  <si>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</si>
  <si>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</si>
  <si>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</si>
  <si>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</si>
  <si>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</si>
  <si>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</si>
  <si>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</si>
  <si>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</si>
  <si>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</si>
  <si>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</si>
  <si>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</si>
  <si>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</si>
  <si>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</si>
  <si>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</si>
  <si>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</si>
  <si>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</si>
  <si>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</si>
  <si>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</si>
  <si>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</si>
  <si>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</si>
  <si>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</si>
  <si>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</si>
  <si>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</si>
  <si>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</si>
  <si>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</si>
  <si>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</si>
  <si>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</si>
  <si>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</si>
  <si>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</si>
  <si>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</si>
  <si>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</si>
  <si>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</si>
  <si>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</si>
  <si>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</si>
  <si>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</si>
  <si>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</si>
  <si>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</si>
  <si>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</si>
  <si>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</si>
  <si>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</si>
  <si>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</si>
  <si>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</si>
  <si>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</si>
  <si>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</si>
  <si>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</si>
  <si>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</si>
  <si>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</si>
  <si>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</si>
  <si>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</si>
  <si>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</si>
  <si>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</si>
  <si>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</si>
  <si>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</si>
  <si>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</si>
  <si>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</si>
  <si>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</si>
  <si>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</si>
  <si>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</si>
  <si>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</si>
  <si>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</si>
  <si>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</si>
  <si>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</si>
  <si>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</si>
  <si>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</si>
  <si>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</si>
  <si>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</si>
  <si>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</si>
  <si>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</si>
  <si>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</si>
  <si>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</si>
  <si>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</si>
  <si>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</si>
  <si>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</si>
  <si>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</si>
  <si>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</si>
  <si>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</si>
  <si>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</si>
  <si>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</si>
  <si>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</si>
  <si>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</si>
  <si>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</si>
  <si>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</si>
  <si>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</si>
  <si>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</si>
  <si>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</si>
  <si>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</si>
  <si>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</si>
  <si>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</si>
  <si>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</si>
  <si>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</si>
  <si>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</si>
  <si>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</si>
  <si>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</si>
  <si>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</si>
  <si>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</si>
  <si>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</si>
  <si>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</si>
  <si>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</si>
  <si>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</si>
  <si>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</si>
  <si>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</si>
  <si>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</si>
  <si>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</si>
  <si>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</si>
  <si>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</si>
  <si>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</si>
  <si>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</si>
  <si>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</si>
  <si>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</si>
  <si>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</si>
  <si>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</si>
  <si>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</si>
  <si>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</si>
  <si>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</si>
  <si>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</si>
  <si>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</si>
  <si>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</si>
  <si>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</si>
  <si>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</si>
  <si>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</si>
  <si>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</si>
  <si>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</si>
  <si>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</si>
  <si>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</si>
  <si>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</si>
  <si>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</si>
  <si>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</si>
  <si>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</si>
  <si>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</si>
  <si>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</si>
  <si>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</si>
  <si>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</si>
  <si>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</si>
  <si>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</si>
  <si>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</si>
  <si>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</si>
  <si>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</si>
  <si>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</si>
  <si>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</si>
  <si>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</si>
  <si>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</si>
  <si>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</si>
  <si>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</si>
  <si>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</si>
  <si>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</si>
  <si>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</si>
  <si>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</si>
  <si>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</si>
  <si>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</si>
  <si>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</si>
  <si>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</si>
  <si>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</si>
  <si>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</si>
  <si>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</si>
  <si>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</si>
  <si>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</si>
  <si>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</si>
  <si>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</si>
  <si>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</si>
  <si>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</si>
  <si>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</si>
  <si>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</si>
  <si>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</si>
  <si>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</si>
  <si>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</si>
  <si>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</si>
  <si>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</si>
  <si>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</si>
  <si>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</si>
  <si>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</si>
  <si>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</si>
  <si>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</si>
  <si>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</si>
  <si>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</si>
  <si>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</si>
  <si>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</si>
  <si>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</si>
  <si>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</si>
  <si>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</si>
  <si>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</si>
  <si>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</si>
  <si>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</si>
  <si>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</si>
  <si>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</si>
  <si>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</si>
  <si>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</si>
  <si>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</si>
  <si>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</si>
  <si>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</si>
  <si>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</si>
  <si>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</si>
  <si>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</si>
  <si>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</si>
  <si>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</si>
  <si>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</si>
  <si>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</si>
  <si>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</si>
  <si>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</si>
  <si>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</si>
  <si>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</si>
  <si>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</si>
  <si>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</si>
  <si>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</si>
  <si>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</si>
  <si>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</si>
  <si>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</si>
  <si>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</si>
  <si>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</si>
  <si>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</si>
  <si>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</si>
  <si>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</si>
  <si>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</si>
  <si>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</si>
  <si>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</si>
  <si>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</si>
  <si>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</si>
  <si>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</si>
  <si>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</si>
  <si>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</si>
  <si>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</si>
  <si>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</si>
  <si>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</si>
  <si>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</si>
  <si>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</si>
  <si>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</si>
  <si>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</si>
  <si>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</si>
  <si>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</si>
  <si>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</si>
  <si>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</si>
  <si>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</si>
  <si>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</si>
  <si>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</si>
  <si>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</si>
  <si>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</si>
  <si>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</si>
  <si>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</si>
  <si>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</si>
  <si>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</si>
  <si>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</si>
  <si>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</si>
  <si>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</si>
  <si>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</si>
  <si>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</si>
  <si>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</si>
  <si>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</si>
  <si>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</si>
  <si>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</si>
  <si>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</si>
  <si>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</si>
  <si>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</si>
  <si>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</si>
  <si>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</si>
  <si>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</si>
  <si>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</si>
  <si>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</si>
  <si>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</si>
  <si>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</si>
  <si>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</si>
  <si>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</si>
  <si>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</si>
  <si>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</si>
  <si>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</si>
  <si>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</si>
  <si>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</si>
  <si>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</si>
  <si>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</si>
  <si>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</si>
  <si>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</si>
  <si>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</si>
  <si>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</si>
  <si>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</si>
  <si>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</si>
  <si>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</si>
  <si>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</si>
  <si>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</si>
  <si>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</si>
  <si>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</si>
  <si>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</si>
  <si>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</si>
  <si>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</si>
  <si>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</si>
  <si>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</si>
  <si>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</si>
  <si>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</si>
  <si>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</si>
  <si>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</si>
  <si>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</si>
  <si>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</si>
  <si>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</si>
  <si>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</si>
  <si>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</si>
  <si>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</si>
  <si>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</si>
  <si>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</si>
  <si>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</si>
  <si>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</si>
  <si>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</si>
  <si>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</si>
  <si>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</si>
  <si>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</si>
  <si>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</si>
  <si>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</si>
  <si>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</si>
  <si>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</si>
  <si>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</si>
  <si>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</si>
  <si>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</si>
  <si>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</si>
  <si>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</si>
  <si>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</si>
  <si>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</si>
  <si>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</si>
  <si>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</si>
  <si>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</si>
  <si>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</si>
  <si>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</si>
  <si>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</si>
  <si>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</si>
  <si>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</si>
  <si>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</si>
  <si>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</si>
  <si>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</si>
  <si>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</si>
  <si>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</si>
  <si>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</si>
  <si>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</si>
  <si>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</si>
  <si>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</si>
  <si>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</si>
  <si>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</si>
  <si>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</si>
  <si>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</si>
  <si>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</si>
  <si>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</si>
  <si>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</si>
  <si>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</si>
  <si>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</si>
  <si>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</si>
  <si>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</si>
  <si>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</si>
  <si>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</si>
  <si>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</si>
  <si>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</si>
  <si>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</si>
  <si>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</si>
  <si>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</si>
  <si>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</si>
  <si>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</si>
  <si>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</si>
  <si>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</si>
  <si>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</si>
  <si>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</si>
  <si>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</si>
  <si>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</si>
  <si>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</si>
  <si>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</si>
  <si>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</si>
  <si>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</si>
  <si>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</si>
  <si>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</si>
  <si>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</si>
  <si>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</si>
  <si>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</si>
  <si>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</si>
  <si>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</si>
  <si>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</si>
  <si>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</si>
  <si>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</si>
  <si>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</si>
  <si>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</si>
  <si>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</si>
  <si>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</si>
  <si>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</si>
  <si>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</si>
  <si>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</si>
  <si>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</si>
  <si>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</si>
  <si>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</si>
  <si>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</si>
  <si>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</si>
  <si>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</si>
  <si>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</si>
  <si>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</si>
  <si>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</si>
  <si>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</si>
  <si>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</si>
  <si>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</si>
  <si>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</si>
  <si>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</si>
  <si>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</si>
  <si>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</si>
  <si>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</si>
  <si>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</si>
  <si>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</si>
  <si>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</si>
  <si>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</si>
  <si>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</si>
  <si>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</si>
  <si>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</si>
  <si>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</si>
  <si>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</si>
  <si>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</si>
  <si>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</si>
  <si>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</si>
  <si>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</si>
  <si>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</si>
  <si>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</si>
  <si>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</si>
  <si>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</si>
  <si>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</si>
  <si>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</si>
  <si>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</si>
  <si>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</si>
  <si>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</si>
  <si>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</si>
  <si>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</si>
  <si>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</si>
  <si>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</si>
  <si>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</si>
  <si>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</si>
  <si>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</si>
  <si>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</si>
  <si>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</si>
  <si>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</si>
  <si>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</si>
  <si>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</si>
  <si>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</si>
  <si>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</si>
  <si>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</si>
  <si>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</si>
  <si>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</si>
  <si>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</si>
  <si>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</si>
  <si>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</si>
  <si>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</si>
  <si>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</si>
  <si>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</si>
  <si>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</si>
  <si>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</si>
  <si>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</si>
  <si>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</si>
  <si>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</si>
  <si>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</si>
  <si>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</si>
  <si>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</si>
  <si>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</si>
  <si>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</si>
  <si>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</si>
  <si>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</si>
  <si>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</si>
  <si>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</si>
  <si>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</si>
  <si>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</si>
  <si>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</si>
  <si>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</si>
  <si>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</si>
  <si>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</si>
  <si>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</si>
  <si>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</si>
  <si>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</si>
  <si>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</si>
  <si>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</si>
  <si>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</si>
  <si>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</si>
  <si>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</si>
  <si>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</si>
  <si>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</si>
  <si>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</si>
  <si>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</si>
  <si>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</si>
  <si>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</si>
  <si>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</si>
  <si>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</si>
  <si>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</si>
  <si>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</si>
  <si>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</si>
  <si>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</si>
  <si>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</si>
  <si>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</si>
  <si>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</si>
  <si>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</si>
  <si>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</si>
  <si>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</si>
  <si>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</si>
  <si>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</si>
  <si>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</si>
  <si>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</si>
  <si>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</si>
  <si>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</si>
  <si>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</si>
  <si>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</si>
  <si>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</si>
  <si>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</si>
  <si>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</si>
  <si>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</si>
  <si>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</si>
  <si>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</si>
  <si>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</si>
  <si>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</si>
  <si>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</si>
  <si>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</si>
  <si>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</si>
  <si>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</si>
  <si>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</si>
  <si>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</si>
  <si>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</si>
  <si>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</si>
  <si>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</si>
  <si>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</si>
  <si>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</si>
  <si>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</si>
  <si>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</si>
  <si>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</si>
  <si>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</si>
  <si>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</si>
  <si>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</si>
  <si>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</si>
  <si>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</si>
  <si>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</si>
  <si>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</si>
  <si>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</si>
  <si>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</si>
  <si>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</si>
  <si>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</si>
  <si>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</si>
  <si>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</si>
  <si>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</si>
  <si>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</si>
  <si>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</si>
  <si>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</si>
  <si>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</si>
  <si>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</si>
  <si>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</si>
  <si>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</si>
  <si>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</si>
  <si>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</si>
  <si>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</si>
  <si>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</si>
  <si>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</si>
  <si>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</si>
  <si>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</si>
  <si>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</si>
  <si>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</si>
  <si>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</si>
  <si>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</si>
  <si>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</si>
  <si>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</si>
  <si>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</si>
  <si>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</si>
  <si>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</si>
  <si>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</si>
  <si>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</si>
  <si>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</si>
  <si>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</si>
  <si>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</si>
  <si>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</si>
  <si>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</si>
  <si>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</si>
  <si>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</si>
  <si>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</si>
  <si>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</si>
  <si>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</si>
  <si>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</si>
  <si>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</si>
  <si>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</si>
  <si>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</si>
  <si>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</si>
  <si>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</si>
  <si>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</si>
  <si>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</si>
  <si>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</si>
  <si>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</si>
  <si>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</si>
  <si>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</si>
  <si>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</si>
  <si>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</si>
  <si>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</si>
  <si>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</si>
  <si>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</si>
  <si>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</si>
  <si>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</si>
  <si>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</si>
  <si>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</si>
  <si>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</si>
  <si>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</si>
  <si>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</si>
  <si>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</si>
  <si>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</si>
  <si>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</si>
  <si>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</si>
  <si>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</si>
  <si>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</si>
  <si>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</si>
  <si>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</si>
  <si>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</si>
  <si>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</si>
  <si>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</si>
  <si>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</si>
  <si>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</si>
  <si>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</si>
  <si>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</si>
  <si>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</si>
  <si>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</si>
  <si>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</si>
  <si>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</si>
  <si>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</si>
  <si>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</si>
  <si>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</si>
  <si>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</si>
  <si>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</si>
  <si>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</si>
  <si>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</si>
  <si>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</si>
  <si>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</si>
  <si>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</si>
  <si>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</si>
  <si>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</si>
  <si>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</si>
  <si>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</si>
  <si>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</si>
  <si>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</si>
  <si>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</si>
  <si>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</si>
  <si>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</si>
  <si>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</si>
  <si>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</si>
  <si>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</si>
  <si>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</si>
  <si>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</si>
  <si>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</si>
  <si>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</si>
  <si>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</si>
  <si>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</si>
  <si>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</si>
  <si>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</si>
  <si>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</si>
  <si>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</si>
  <si>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</si>
  <si>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</si>
  <si>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</si>
  <si>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</si>
  <si>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</si>
  <si>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</si>
  <si>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</si>
  <si>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</si>
  <si>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</si>
  <si>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</si>
  <si>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</si>
  <si>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</si>
  <si>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</si>
  <si>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</si>
  <si>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</si>
  <si>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</si>
  <si>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</si>
  <si>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</si>
  <si>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</si>
  <si>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</si>
  <si>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</si>
  <si>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</si>
  <si>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</si>
  <si>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</si>
  <si>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</si>
  <si>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</si>
  <si>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</si>
  <si>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</si>
  <si>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</si>
  <si>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</si>
  <si>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</si>
  <si>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</si>
  <si>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</si>
  <si>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</si>
  <si>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</si>
  <si>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</si>
  <si>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</si>
  <si>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</si>
  <si>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</si>
  <si>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</si>
  <si>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</si>
  <si>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</si>
  <si>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</si>
  <si>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</si>
  <si>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</si>
  <si>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</si>
  <si>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</si>
  <si>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</si>
  <si>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</si>
  <si>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</si>
  <si>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</si>
  <si>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</si>
  <si>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</si>
  <si>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</si>
  <si>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</si>
  <si>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</si>
  <si>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</si>
  <si>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</si>
  <si>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</si>
  <si>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</si>
  <si>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</si>
  <si>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</si>
  <si>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</si>
  <si>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</si>
  <si>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</si>
  <si>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</si>
  <si>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</si>
  <si>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</si>
  <si>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</si>
  <si>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</si>
  <si>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</si>
  <si>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</si>
  <si>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</si>
  <si>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</si>
  <si>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</si>
  <si>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</si>
  <si>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</si>
  <si>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</si>
  <si>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</si>
  <si>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</si>
  <si>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</si>
  <si>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</si>
  <si>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</si>
  <si>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</si>
  <si>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</si>
  <si>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</si>
  <si>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</si>
  <si>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</si>
  <si>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</si>
  <si>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</si>
  <si>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</si>
  <si>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</si>
  <si>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</si>
  <si>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</si>
  <si>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</si>
  <si>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</si>
  <si>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</si>
  <si>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</si>
  <si>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</si>
  <si>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</si>
  <si>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</si>
  <si>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</si>
  <si>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</si>
  <si>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</si>
  <si>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</si>
  <si>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</si>
  <si>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</si>
  <si>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</si>
  <si>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</si>
  <si>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</si>
  <si>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</si>
  <si>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</si>
  <si>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</si>
  <si>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</si>
  <si>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</si>
  <si>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</si>
  <si>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</si>
  <si>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</si>
  <si>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</si>
  <si>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</si>
  <si>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</si>
  <si>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</si>
  <si>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</si>
  <si>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</si>
  <si>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</si>
  <si>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</si>
  <si>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</si>
  <si>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</si>
  <si>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</si>
  <si>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</si>
  <si>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</si>
  <si>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</si>
  <si>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</si>
  <si>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</si>
  <si>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</si>
  <si>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</si>
  <si>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</si>
  <si>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</si>
  <si>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</si>
  <si>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</si>
  <si>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</si>
  <si>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</si>
  <si>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</si>
  <si>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</si>
  <si>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</si>
  <si>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</si>
  <si>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</si>
  <si>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</si>
  <si>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</si>
  <si>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</si>
  <si>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</si>
  <si>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</si>
  <si>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</si>
  <si>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</si>
  <si>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</si>
  <si>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</si>
  <si>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</si>
  <si>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</si>
  <si>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</si>
  <si>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</si>
  <si>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</si>
  <si>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</si>
  <si>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</si>
  <si>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</si>
  <si>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</si>
  <si>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</si>
  <si>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ALEXANDRE ALAMAN</t>
  </si>
  <si>
    <t xml:space="preserve">LA THEZE</t>
  </si>
  <si>
    <t xml:space="preserve">LA THEZE AU NIVEAU DE MONTCABRIER</t>
  </si>
  <si>
    <t xml:space="preserve">05088130</t>
  </si>
  <si>
    <t xml:space="preserve">9318 - HYDROBIO AEAG - LOT 3 - IBMR</t>
  </si>
  <si>
    <t xml:space="preserve">(Date)</t>
  </si>
  <si>
    <t xml:space="preserve">Résultats</t>
  </si>
  <si>
    <t xml:space="preserve">Robustesse:</t>
  </si>
  <si>
    <t xml:space="preserve">Unité(s) de relevé</t>
  </si>
  <si>
    <t xml:space="preserve">UR1</t>
  </si>
  <si>
    <t xml:space="preserve">UR2</t>
  </si>
  <si>
    <t xml:space="preserve">Faciès dominant</t>
  </si>
  <si>
    <t xml:space="preserve">pl.courant</t>
  </si>
  <si>
    <t xml:space="preserve">pl. lent</t>
  </si>
  <si>
    <t xml:space="preserve">niveau trophique</t>
  </si>
  <si>
    <t xml:space="preserve">faible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</si>
  <si>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</si>
  <si>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</si>
  <si>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</si>
  <si>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</si>
  <si>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</si>
  <si>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</si>
  <si>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</si>
  <si>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</si>
  <si>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</si>
  <si>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absent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</si>
  <si>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</si>
  <si>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</si>
  <si>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</si>
  <si>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</si>
  <si>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</si>
  <si>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</si>
  <si>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</si>
  <si>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</si>
  <si>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</si>
  <si>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</si>
  <si>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</si>
  <si>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</si>
  <si>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</si>
  <si>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</si>
  <si>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</si>
  <si>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</si>
  <si>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</si>
  <si>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</si>
  <si>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</si>
  <si>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</si>
  <si>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</si>
  <si>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</si>
  <si>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</si>
  <si>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</si>
  <si>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</si>
  <si>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</si>
  <si>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</si>
  <si>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</si>
  <si>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</si>
  <si>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</si>
  <si>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</si>
  <si>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</si>
  <si>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</si>
  <si>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</si>
  <si>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</si>
  <si>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</si>
  <si>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</si>
  <si>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</si>
  <si>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</si>
  <si>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</si>
  <si>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</si>
  <si>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</si>
  <si>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</si>
  <si>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</si>
  <si>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</si>
  <si>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</si>
  <si>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</si>
  <si>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</si>
  <si>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</si>
  <si>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</si>
  <si>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</si>
  <si>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</si>
  <si>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</si>
  <si>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</si>
  <si>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</si>
  <si>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</si>
  <si>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</si>
  <si>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</si>
  <si>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</si>
  <si>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</si>
  <si>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</si>
  <si>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</si>
  <si>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</si>
  <si>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</si>
  <si>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</si>
  <si>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</si>
  <si>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</si>
  <si>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</si>
  <si>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</si>
  <si>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</si>
  <si>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</si>
  <si>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</si>
  <si>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</si>
  <si>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</si>
  <si>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</si>
  <si>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</si>
  <si>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</si>
  <si>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</si>
  <si>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</si>
  <si>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</si>
  <si>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</si>
  <si>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</si>
  <si>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</si>
  <si>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</si>
  <si>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peu abondant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</si>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</sst>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42606</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12.6764705882353</v>
      </c>
      <c r="N5" s="324"/>
      <c r="O5" s="325" t="s">
        <v>448</v>
      </c>
      <c r="P5" s="326" t="n">
        <v>12.1785714285714</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2</v>
      </c>
      <c r="P6" s="338" t="s">
        <v>3392</v>
      </c>
      <c r="Q6" s="339"/>
      <c r="R6" s="281"/>
      <c r="S6" s="281"/>
      <c r="T6" s="281"/>
      <c r="U6" s="281"/>
      <c r="V6" s="281"/>
      <c r="W6" s="295"/>
      <c r="X6" s="0"/>
      <c r="Y6" s="0"/>
      <c r="Z6" s="0"/>
    </row>
    <row r="7" customFormat="false" ht="12.75" hidden="false" customHeight="false" outlineLevel="0" collapsed="false">
      <c r="A7" s="340" t="s">
        <v>3393</v>
      </c>
      <c r="B7" s="341" t="n">
        <v>48</v>
      </c>
      <c r="C7" s="342" t="n">
        <v>52</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12.4166666666667</v>
      </c>
      <c r="P8" s="356" t="n">
        <f aca="false">IF(ISERROR(AVERAGE(K23:K82)),"  ",AVERAGE(K23:K82))</f>
        <v>1.75</v>
      </c>
      <c r="Q8" s="357"/>
      <c r="R8" s="281"/>
      <c r="S8" s="281"/>
      <c r="T8" s="281"/>
      <c r="U8" s="281"/>
      <c r="V8" s="281"/>
      <c r="W8" s="295"/>
      <c r="X8" s="0"/>
      <c r="Y8" s="0"/>
      <c r="Z8" s="0"/>
    </row>
    <row r="9" customFormat="false" ht="12.75" hidden="false" customHeight="false" outlineLevel="0" collapsed="false">
      <c r="A9" s="314" t="s">
        <v>3399</v>
      </c>
      <c r="B9" s="358" t="n">
        <v>10</v>
      </c>
      <c r="C9" s="359" t="n">
        <v>15</v>
      </c>
      <c r="D9" s="360"/>
      <c r="E9" s="360"/>
      <c r="F9" s="361" t="n">
        <f aca="false">($B9*$B$7+$C9*$C$7)/100</f>
        <v>12.6</v>
      </c>
      <c r="G9" s="362"/>
      <c r="H9" s="317"/>
      <c r="I9" s="281"/>
      <c r="J9" s="363"/>
      <c r="K9" s="364"/>
      <c r="L9" s="347"/>
      <c r="M9" s="365"/>
      <c r="N9" s="355" t="s">
        <v>3400</v>
      </c>
      <c r="O9" s="356" t="n">
        <f aca="false">IF(ISERROR(STDEVP(J23:J82))," ",STDEVP(J23:J82))</f>
        <v>3.14797112792068</v>
      </c>
      <c r="P9" s="356" t="n">
        <f aca="false">IF(ISERROR(STDEVP(K23:K82)),"  ",STDEVP(K23:K82))</f>
        <v>0.595119035711904</v>
      </c>
      <c r="Q9" s="357"/>
      <c r="R9" s="281"/>
      <c r="S9" s="281"/>
      <c r="T9" s="281"/>
      <c r="U9" s="281"/>
      <c r="V9" s="281"/>
      <c r="W9" s="295"/>
      <c r="X9" s="0"/>
      <c r="Y9" s="0"/>
      <c r="Z9" s="0"/>
    </row>
    <row r="10" customFormat="false" ht="12.75" hidden="false" customHeight="false" outlineLevel="0" collapsed="false">
      <c r="A10" s="314" t="s">
        <v>3401</v>
      </c>
      <c r="B10" s="366" t="s">
        <v>3402</v>
      </c>
      <c r="C10" s="367" t="s">
        <v>3402</v>
      </c>
      <c r="D10" s="360"/>
      <c r="E10" s="360"/>
      <c r="F10" s="361"/>
      <c r="G10" s="362"/>
      <c r="H10" s="330"/>
      <c r="I10" s="281"/>
      <c r="J10" s="368"/>
      <c r="K10" s="369" t="s">
        <v>3403</v>
      </c>
      <c r="L10" s="370"/>
      <c r="M10" s="371"/>
      <c r="N10" s="355" t="s">
        <v>3404</v>
      </c>
      <c r="O10" s="372" t="n">
        <f aca="false">MIN(J23:J82)</f>
        <v>5</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18</v>
      </c>
      <c r="P11" s="372" t="n">
        <f aca="false">MAX(K23:K82)</f>
        <v>3</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2</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5</v>
      </c>
      <c r="M13" s="381"/>
      <c r="N13" s="389" t="s">
        <v>3412</v>
      </c>
      <c r="O13" s="390" t="n">
        <f aca="false">COUNTIF(F23:F82,"&gt;0")</f>
        <v>16</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1</v>
      </c>
      <c r="M14" s="381"/>
      <c r="N14" s="392" t="s">
        <v>3415</v>
      </c>
      <c r="O14" s="393" t="n">
        <f aca="false">COUNTIF($J$23:$J$82,"&gt;-1")</f>
        <v>12</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8</v>
      </c>
      <c r="M15" s="381"/>
      <c r="N15" s="389" t="s">
        <v>3418</v>
      </c>
      <c r="O15" s="390" t="n">
        <f aca="false">COUNTIF(K23:K82,"=1")</f>
        <v>4</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7</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0.75</v>
      </c>
      <c r="N17" s="389" t="s">
        <v>3423</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11.54</v>
      </c>
      <c r="C20" s="433" t="n">
        <f aca="false">SUM(C23:C82)</f>
        <v>13.01</v>
      </c>
      <c r="D20" s="434"/>
      <c r="E20" s="435" t="s">
        <v>3425</v>
      </c>
      <c r="F20" s="436" t="n">
        <f aca="false">($B20*$B$7+$C20*$C$7)/100</f>
        <v>12.3044</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5.5392</v>
      </c>
      <c r="C21" s="444" t="n">
        <f aca="false">C20*C7/100</f>
        <v>6.7652</v>
      </c>
      <c r="D21" s="445" t="s">
        <v>3428</v>
      </c>
      <c r="E21" s="446"/>
      <c r="F21" s="447" t="n">
        <f aca="false">B21+C21</f>
        <v>12.3044</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65</v>
      </c>
      <c r="B23" s="472" t="n">
        <v>0.005</v>
      </c>
      <c r="C23" s="473"/>
      <c r="D23" s="474" t="str">
        <f aca="false">IF(ISERROR(VLOOKUP($A23,'liste reference'!$A$6:$B$1174,2,0)),IF(ISERROR(VLOOKUP($A23,'liste reference'!$B$6:$B$1174,1,0)),"",VLOOKUP($A23,'liste reference'!$B$6:$B$1174,1,0)),VLOOKUP($A23,'liste reference'!$A$6:$B$1174,2,0))</f>
        <v>Batrachospermum sp.</v>
      </c>
      <c r="E23" s="475" t="e">
        <f aca="false">IF(D23="",0,VLOOKUP(D23,D$22:D22,1,0))</f>
        <v>#N/A</v>
      </c>
      <c r="F23" s="476" t="n">
        <f aca="false">IF(AND(OR(A23="",A23="!!!!!!"),B23="",C23=""),"",IF(OR(AND(B23="",C23=""),ISERROR(C23+B23)),"!!!",($B23*$B$7+$C23*$C$7)/100))</f>
        <v>0.0024</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16</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Batrachospermum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1155</v>
      </c>
      <c r="R23" s="484" t="n">
        <f aca="false">IF(ISTEXT(H23),"",(B23*$B$7/100)+(C23*$C$7/100))</f>
        <v>0.0024</v>
      </c>
      <c r="S23" s="485" t="n">
        <f aca="false">IF(OR(ISTEXT(H23),R23=0),"",IF(R23&lt;0.1,1,IF(R23&lt;1,2,IF(R23&lt;10,3,IF(R23&lt;50,4,IF(R23&gt;=50,5,""))))))</f>
        <v>1</v>
      </c>
      <c r="T23" s="485" t="n">
        <f aca="false">IF(ISERROR(S23*J23),0,S23*J23)</f>
        <v>16</v>
      </c>
      <c r="U23" s="485" t="n">
        <f aca="false">IF(ISERROR(S23*J23*K23),0,S23*J23*K23)</f>
        <v>32</v>
      </c>
      <c r="V23" s="485" t="n">
        <f aca="false">IF(ISERROR(S23*K23),0,S23*K23)</f>
        <v>2</v>
      </c>
      <c r="W23" s="486"/>
      <c r="X23" s="487"/>
      <c r="Y23" s="488" t="str">
        <f aca="false">IF(AND(ISNUMBER(F23),OR(A23="",A23="!!!!!!")),"!!!!!!",IF(A23="new.cod","NEWCOD",IF(AND((Z23=""),ISTEXT(A23),A23&lt;&gt;"!!!!!!"),A23,IF(Z23="","",INDEX('liste reference'!$A$6:$A$1174,Z23)))))</f>
        <v>BATSPX</v>
      </c>
      <c r="Z23" s="470" t="n">
        <f aca="false">IF(ISERROR(MATCH(A23,'liste reference'!$A$6:$A$1174,0)),IF(ISERROR(MATCH(A23,'liste reference'!$B$6:$B$1174,0)),"",(MATCH(A23,'liste reference'!$B$6:$B$1174,0))),(MATCH(A23,'liste reference'!$A$6:$A$1174,0)))</f>
        <v>10</v>
      </c>
    </row>
    <row r="24" customFormat="false" ht="12.75" hidden="false" customHeight="false" outlineLevel="0" collapsed="false">
      <c r="A24" s="489" t="s">
        <v>309</v>
      </c>
      <c r="B24" s="490" t="n">
        <v>0.005</v>
      </c>
      <c r="C24" s="491"/>
      <c r="D24" s="492" t="str">
        <f aca="false">IF(ISERROR(VLOOKUP($A24,'liste reference'!$A$6:$B$1174,2,0)),IF(ISERROR(VLOOKUP($A24,'liste reference'!$B$6:$B$1174,1,0)),"",VLOOKUP($A24,'liste reference'!$B$6:$B$1174,1,0)),VLOOKUP($A24,'liste reference'!$A$6:$B$1174,2,0))</f>
        <v>Phormidium sp.</v>
      </c>
      <c r="E24" s="493" t="e">
        <f aca="false">IF(D24="",0,VLOOKUP(D24,D$22:D23,1,0))</f>
        <v>#N/A</v>
      </c>
      <c r="F24" s="494" t="n">
        <f aca="false">IF(AND(OR(A24="",A24="!!!!!!"),B24="",C24=""),"",IF(OR(AND(B24="",C24=""),ISERROR(C24+B24)),"!!!",($B24*$B$7+$C24*$C$7)/100))</f>
        <v>0.0024</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13</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Phormidium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6414</v>
      </c>
      <c r="R24" s="484" t="n">
        <f aca="false">IF(ISTEXT(H24),"",(B24*$B$7/100)+(C24*$C$7/100))</f>
        <v>0.0024</v>
      </c>
      <c r="S24" s="485" t="n">
        <f aca="false">IF(OR(ISTEXT(H24),R24=0),"",IF(R24&lt;0.1,1,IF(R24&lt;1,2,IF(R24&lt;10,3,IF(R24&lt;50,4,IF(R24&gt;=50,5,""))))))</f>
        <v>1</v>
      </c>
      <c r="T24" s="485" t="n">
        <f aca="false">IF(ISERROR(S24*J24),0,S24*J24)</f>
        <v>13</v>
      </c>
      <c r="U24" s="485" t="n">
        <f aca="false">IF(ISERROR(S24*J24*K24),0,S24*J24*K24)</f>
        <v>26</v>
      </c>
      <c r="V24" s="501" t="n">
        <f aca="false">IF(ISERROR(S24*K24),0,S24*K24)</f>
        <v>2</v>
      </c>
      <c r="W24" s="502"/>
      <c r="X24" s="503"/>
      <c r="Y24" s="488" t="str">
        <f aca="false">IF(AND(ISNUMBER(F24),OR(A24="",A24="!!!!!!")),"!!!!!!",IF(A24="new.cod","NEWCOD",IF(AND((Z24=""),ISTEXT(A24),A24&lt;&gt;"!!!!!!"),A24,IF(Z24="","",INDEX('liste reference'!$A$6:$A$1174,Z24)))))</f>
        <v>PHOSPX</v>
      </c>
      <c r="Z24" s="470" t="n">
        <f aca="false">IF(ISERROR(MATCH(A24,'liste reference'!$A$6:$A$1174,0)),IF(ISERROR(MATCH(A24,'liste reference'!$B$6:$B$1174,0)),"",(MATCH(A24,'liste reference'!$B$6:$B$1174,0))),(MATCH(A24,'liste reference'!$A$6:$A$1174,0)))</f>
        <v>88</v>
      </c>
    </row>
    <row r="25" customFormat="false" ht="12.75" hidden="false" customHeight="false" outlineLevel="0" collapsed="false">
      <c r="A25" s="489" t="s">
        <v>448</v>
      </c>
      <c r="B25" s="490" t="n">
        <v>1.5</v>
      </c>
      <c r="C25" s="491" t="n">
        <v>1</v>
      </c>
      <c r="D25" s="492" t="str">
        <f aca="false">IF(ISERROR(VLOOKUP($A25,'liste reference'!$A$6:$B$1174,2,0)),IF(ISERROR(VLOOKUP($A25,'liste reference'!$B$6:$B$1174,1,0)),"",VLOOKUP($A25,'liste reference'!$B$6:$B$1174,1,0)),VLOOKUP($A25,'liste reference'!$A$6:$B$1174,2,0))</f>
        <v>Chiloscyphus polyanthos</v>
      </c>
      <c r="E25" s="493" t="e">
        <f aca="false">IF(D25="",0,VLOOKUP(D25,D$22:D24,1,0))</f>
        <v>#N/A</v>
      </c>
      <c r="F25" s="494" t="n">
        <f aca="false">IF(AND(OR(A25="",A25="!!!!!!"),B25="",C25=""),"",IF(OR(AND(B25="",C25=""),ISERROR(C25+B25)),"!!!",($B25*$B$7+$C25*$C$7)/100))</f>
        <v>1.24</v>
      </c>
      <c r="G25" s="495" t="str">
        <f aca="false">IF(A25="","",IF(ISERROR(VLOOKUP($A25,'liste reference'!$A$6:$Q$1174,9,0)),IF(ISERROR(VLOOKUP($A25,'liste reference'!$B$6:$Q$1174,8,0)),"    -",VLOOKUP($A25,'liste reference'!$B$6:$Q$1174,8,0)),VLOOKUP($A25,'liste reference'!$A$6:$Q$1174,9,0)))</f>
        <v>BRh</v>
      </c>
      <c r="H25" s="496" t="n">
        <f aca="false">IF(A25="","x",IF(ISERROR(VLOOKUP($A25,'liste reference'!$A$6:$Q$1174,10,0)),IF(ISERROR(VLOOKUP($A25,'liste reference'!$B$6:$Q$1174,9,0)),"x",VLOOKUP($A25,'liste reference'!$B$6:$Q$1174,9,0)),VLOOKUP($A25,'liste reference'!$A$6:$Q$1174,10,0)))</f>
        <v>4</v>
      </c>
      <c r="I25" s="281" t="n">
        <f aca="false">IF(A25="","",1)</f>
        <v>1</v>
      </c>
      <c r="J25" s="497" t="n">
        <f aca="false">IF(ISNUMBER($H25),IF(ISERROR(VLOOKUP($A25,'liste reference'!$A$6:$Q$1174,6,0)),IF(ISERROR(VLOOKUP($A25,'liste reference'!$B$6:$Q$1174,5,0)),"nu",VLOOKUP($A25,'liste reference'!$B$6:$Q$1174,5,0)),VLOOKUP($A25,'liste reference'!$A$6:$Q$1174,6,0)),"nu")</f>
        <v>15</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Chiloscyphus polyanthos</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1186</v>
      </c>
      <c r="R25" s="484" t="n">
        <f aca="false">IF(ISTEXT(H25),"",(B25*$B$7/100)+(C25*$C$7/100))</f>
        <v>1.24</v>
      </c>
      <c r="S25" s="485" t="n">
        <f aca="false">IF(OR(ISTEXT(H25),R25=0),"",IF(R25&lt;0.1,1,IF(R25&lt;1,2,IF(R25&lt;10,3,IF(R25&lt;50,4,IF(R25&gt;=50,5,""))))))</f>
        <v>3</v>
      </c>
      <c r="T25" s="485" t="n">
        <f aca="false">IF(ISERROR(S25*J25),0,S25*J25)</f>
        <v>45</v>
      </c>
      <c r="U25" s="485" t="n">
        <f aca="false">IF(ISERROR(S25*J25*K25),0,S25*J25*K25)</f>
        <v>90</v>
      </c>
      <c r="V25" s="501" t="n">
        <f aca="false">IF(ISERROR(S25*K25),0,S25*K25)</f>
        <v>6</v>
      </c>
      <c r="W25" s="502"/>
      <c r="X25" s="503"/>
      <c r="Y25" s="488" t="str">
        <f aca="false">IF(AND(ISNUMBER(F25),OR(A25="",A25="!!!!!!")),"!!!!!!",IF(A25="new.cod","NEWCOD",IF(AND((Z25=""),ISTEXT(A25),A25&lt;&gt;"!!!!!!"),A25,IF(Z25="","",INDEX('liste reference'!$A$6:$A$1174,Z25)))))</f>
        <v>CHIPOL</v>
      </c>
      <c r="Z25" s="470" t="n">
        <f aca="false">IF(ISERROR(MATCH(A25,'liste reference'!$A$6:$A$1174,0)),IF(ISERROR(MATCH(A25,'liste reference'!$B$6:$B$1174,0)),"",(MATCH(A25,'liste reference'!$B$6:$B$1174,0))),(MATCH(A25,'liste reference'!$A$6:$A$1174,0)))</f>
        <v>137</v>
      </c>
    </row>
    <row r="26" customFormat="false" ht="12.75" hidden="false" customHeight="false" outlineLevel="0" collapsed="false">
      <c r="A26" s="489" t="s">
        <v>557</v>
      </c>
      <c r="B26" s="490" t="n">
        <v>0.5</v>
      </c>
      <c r="C26" s="491" t="n">
        <v>0.005</v>
      </c>
      <c r="D26" s="492" t="str">
        <f aca="false">IF(ISERROR(VLOOKUP($A26,'liste reference'!$A$6:$B$1174,2,0)),IF(ISERROR(VLOOKUP($A26,'liste reference'!$B$6:$B$1174,1,0)),"",VLOOKUP($A26,'liste reference'!$B$6:$B$1174,1,0)),VLOOKUP($A26,'liste reference'!$A$6:$B$1174,2,0))</f>
        <v>Pellia sp.</v>
      </c>
      <c r="E26" s="493" t="e">
        <f aca="false">IF(D26="",0,VLOOKUP(D26,D$22:D25,1,0))</f>
        <v>#N/A</v>
      </c>
      <c r="F26" s="494" t="n">
        <f aca="false">IF(AND(OR(A26="",A26="!!!!!!"),B26="",C26=""),"",IF(OR(AND(B26="",C26=""),ISERROR(C26+B26)),"!!!",($B26*$B$7+$C26*$C$7)/100))</f>
        <v>0.2426</v>
      </c>
      <c r="G26" s="495" t="str">
        <f aca="false">IF(A26="","",IF(ISERROR(VLOOKUP($A26,'liste reference'!$A$6:$Q$1174,9,0)),IF(ISERROR(VLOOKUP($A26,'liste reference'!$B$6:$Q$1174,8,0)),"    -",VLOOKUP($A26,'liste reference'!$B$6:$Q$1174,8,0)),VLOOKUP($A26,'liste reference'!$A$6:$Q$1174,9,0)))</f>
        <v>BRh</v>
      </c>
      <c r="H26" s="496" t="n">
        <f aca="false">IF(A26="","x",IF(ISERROR(VLOOKUP($A26,'liste reference'!$A$6:$Q$1174,10,0)),IF(ISERROR(VLOOKUP($A26,'liste reference'!$B$6:$Q$1174,9,0)),"x",VLOOKUP($A26,'liste reference'!$B$6:$Q$1174,9,0)),VLOOKUP($A26,'liste reference'!$A$6:$Q$1174,10,0)))</f>
        <v>4</v>
      </c>
      <c r="I26" s="281" t="n">
        <f aca="false">IF(A26="","",1)</f>
        <v>1</v>
      </c>
      <c r="J26" s="497" t="str">
        <f aca="false">IF(ISNUMBER($H26),IF(ISERROR(VLOOKUP($A26,'liste reference'!$A$6:$Q$1174,6,0)),IF(ISERROR(VLOOKUP($A26,'liste reference'!$B$6:$Q$1174,5,0)),"nu",VLOOKUP($A26,'liste reference'!$B$6:$Q$1174,5,0)),VLOOKUP($A26,'liste reference'!$A$6:$Q$1174,6,0)),"nu")</f>
        <v>nc</v>
      </c>
      <c r="K26" s="497" t="str">
        <f aca="false">IF(ISNUMBER($H26),IF(ISERROR(VLOOKUP($A26,'liste reference'!$A$6:$Q$1174,7,0)),IF(ISERROR(VLOOKUP($A26,'liste reference'!$B$6:$Q$1174,6,0)),"nu",VLOOKUP($A26,'liste reference'!$B$6:$Q$1174,6,0)),VLOOKUP($A26,'liste reference'!$A$6:$Q$1174,7,0)),"nu")</f>
        <v>nc</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Pellia sp.</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1196</v>
      </c>
      <c r="R26" s="484" t="n">
        <f aca="false">IF(ISTEXT(H26),"",(B26*$B$7/100)+(C26*$C$7/100))</f>
        <v>0.2426</v>
      </c>
      <c r="S26" s="485" t="n">
        <f aca="false">IF(OR(ISTEXT(H26),R26=0),"",IF(R26&lt;0.1,1,IF(R26&lt;1,2,IF(R26&lt;10,3,IF(R26&lt;50,4,IF(R26&gt;=50,5,""))))))</f>
        <v>2</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PELSPX</v>
      </c>
      <c r="Z26" s="470" t="n">
        <f aca="false">IF(ISERROR(MATCH(A26,'liste reference'!$A$6:$A$1174,0)),IF(ISERROR(MATCH(A26,'liste reference'!$B$6:$B$1174,0)),"",(MATCH(A26,'liste reference'!$B$6:$B$1174,0))),(MATCH(A26,'liste reference'!$A$6:$A$1174,0)))</f>
        <v>170</v>
      </c>
    </row>
    <row r="27" customFormat="false" ht="12.75" hidden="false" customHeight="false" outlineLevel="0" collapsed="false">
      <c r="A27" s="489" t="s">
        <v>723</v>
      </c>
      <c r="B27" s="490" t="n">
        <v>0.005</v>
      </c>
      <c r="C27" s="491"/>
      <c r="D27" s="492" t="str">
        <f aca="false">IF(ISERROR(VLOOKUP($A27,'liste reference'!$A$6:$B$1174,2,0)),IF(ISERROR(VLOOKUP($A27,'liste reference'!$B$6:$B$1174,1,0)),"",VLOOKUP($A27,'liste reference'!$B$6:$B$1174,1,0)),VLOOKUP($A27,'liste reference'!$A$6:$B$1174,2,0))</f>
        <v>Cratoneuron filicinum</v>
      </c>
      <c r="E27" s="493" t="e">
        <f aca="false">IF(D27="",0,VLOOKUP(D27,D$22:D26,1,0))</f>
        <v>#N/A</v>
      </c>
      <c r="F27" s="494" t="n">
        <f aca="false">IF(AND(OR(A27="",A27="!!!!!!"),B27="",C27=""),"",IF(OR(AND(B27="",C27=""),ISERROR(C27+B27)),"!!!",($B27*$B$7+$C27*$C$7)/100))</f>
        <v>0.0024</v>
      </c>
      <c r="G27" s="495" t="str">
        <f aca="false">IF(A27="","",IF(ISERROR(VLOOKUP($A27,'liste reference'!$A$6:$Q$1174,9,0)),IF(ISERROR(VLOOKUP($A27,'liste reference'!$B$6:$Q$1174,8,0)),"    -",VLOOKUP($A27,'liste reference'!$B$6:$Q$1174,8,0)),VLOOKUP($A27,'liste reference'!$A$6:$Q$1174,9,0)))</f>
        <v>BRm</v>
      </c>
      <c r="H27" s="496" t="n">
        <f aca="false">IF(A27="","x",IF(ISERROR(VLOOKUP($A27,'liste reference'!$A$6:$Q$1174,10,0)),IF(ISERROR(VLOOKUP($A27,'liste reference'!$B$6:$Q$1174,9,0)),"x",VLOOKUP($A27,'liste reference'!$B$6:$Q$1174,9,0)),VLOOKUP($A27,'liste reference'!$A$6:$Q$1174,10,0)))</f>
        <v>5</v>
      </c>
      <c r="I27" s="281" t="n">
        <f aca="false">IF(A27="","",1)</f>
        <v>1</v>
      </c>
      <c r="J27" s="497" t="n">
        <f aca="false">IF(ISNUMBER($H27),IF(ISERROR(VLOOKUP($A27,'liste reference'!$A$6:$Q$1174,6,0)),IF(ISERROR(VLOOKUP($A27,'liste reference'!$B$6:$Q$1174,5,0)),"nu",VLOOKUP($A27,'liste reference'!$B$6:$Q$1174,5,0)),VLOOKUP($A27,'liste reference'!$A$6:$Q$1174,6,0)),"nu")</f>
        <v>18</v>
      </c>
      <c r="K27" s="497" t="n">
        <f aca="false">IF(ISNUMBER($H27),IF(ISERROR(VLOOKUP($A27,'liste reference'!$A$6:$Q$1174,7,0)),IF(ISERROR(VLOOKUP($A27,'liste reference'!$B$6:$Q$1174,6,0)),"nu",VLOOKUP($A27,'liste reference'!$B$6:$Q$1174,6,0)),VLOOKUP($A27,'liste reference'!$A$6:$Q$1174,7,0)),"nu")</f>
        <v>3</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Cratoneuron filicinum</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1233</v>
      </c>
      <c r="R27" s="484" t="n">
        <f aca="false">IF(ISTEXT(H27),"",(B27*$B$7/100)+(C27*$C$7/100))</f>
        <v>0.0024</v>
      </c>
      <c r="S27" s="485" t="n">
        <f aca="false">IF(OR(ISTEXT(H27),R27=0),"",IF(R27&lt;0.1,1,IF(R27&lt;1,2,IF(R27&lt;10,3,IF(R27&lt;50,4,IF(R27&gt;=50,5,""))))))</f>
        <v>1</v>
      </c>
      <c r="T27" s="485" t="n">
        <f aca="false">IF(ISERROR(S27*J27),0,S27*J27)</f>
        <v>18</v>
      </c>
      <c r="U27" s="485" t="n">
        <f aca="false">IF(ISERROR(S27*J27*K27),0,S27*J27*K27)</f>
        <v>54</v>
      </c>
      <c r="V27" s="501" t="n">
        <f aca="false">IF(ISERROR(S27*K27),0,S27*K27)</f>
        <v>3</v>
      </c>
      <c r="W27" s="502"/>
      <c r="X27" s="503"/>
      <c r="Y27" s="488" t="str">
        <f aca="false">IF(AND(ISNUMBER(F27),OR(A27="",A27="!!!!!!")),"!!!!!!",IF(A27="new.cod","NEWCOD",IF(AND((Z27=""),ISTEXT(A27),A27&lt;&gt;"!!!!!!"),A27,IF(Z27="","",INDEX('liste reference'!$A$6:$A$1174,Z27)))))</f>
        <v>CRAFIL</v>
      </c>
      <c r="Z27" s="470" t="n">
        <f aca="false">IF(ISERROR(MATCH(A27,'liste reference'!$A$6:$A$1174,0)),IF(ISERROR(MATCH(A27,'liste reference'!$B$6:$B$1174,0)),"",(MATCH(A27,'liste reference'!$B$6:$B$1174,0))),(MATCH(A27,'liste reference'!$A$6:$A$1174,0)))</f>
        <v>227</v>
      </c>
    </row>
    <row r="28" customFormat="false" ht="12.75" hidden="false" customHeight="false" outlineLevel="0" collapsed="false">
      <c r="A28" s="489" t="s">
        <v>830</v>
      </c>
      <c r="B28" s="490" t="n">
        <v>0.005</v>
      </c>
      <c r="C28" s="491"/>
      <c r="D28" s="492" t="str">
        <f aca="false">IF(ISERROR(VLOOKUP($A28,'liste reference'!$A$6:$B$1174,2,0)),IF(ISERROR(VLOOKUP($A28,'liste reference'!$B$6:$B$1174,1,0)),"",VLOOKUP($A28,'liste reference'!$B$6:$B$1174,1,0)),VLOOKUP($A28,'liste reference'!$A$6:$B$1174,2,0))</f>
        <v>Fissidens crassipes</v>
      </c>
      <c r="E28" s="493" t="e">
        <f aca="false">IF(D28="",0,VLOOKUP(D28,D$22:D27,1,0))</f>
        <v>#N/A</v>
      </c>
      <c r="F28" s="494" t="n">
        <f aca="false">IF(AND(OR(A28="",A28="!!!!!!"),B28="",C28=""),"",IF(OR(AND(B28="",C28=""),ISERROR(C28+B28)),"!!!",($B28*$B$7+$C28*$C$7)/100))</f>
        <v>0.0024</v>
      </c>
      <c r="G28" s="495" t="str">
        <f aca="false">IF(A28="","",IF(ISERROR(VLOOKUP($A28,'liste reference'!$A$6:$Q$1174,9,0)),IF(ISERROR(VLOOKUP($A28,'liste reference'!$B$6:$Q$1174,8,0)),"    -",VLOOKUP($A28,'liste reference'!$B$6:$Q$1174,8,0)),VLOOKUP($A28,'liste reference'!$A$6:$Q$1174,9,0)))</f>
        <v>BRm</v>
      </c>
      <c r="H28" s="496" t="n">
        <f aca="false">IF(A28="","x",IF(ISERROR(VLOOKUP($A28,'liste reference'!$A$6:$Q$1174,10,0)),IF(ISERROR(VLOOKUP($A28,'liste reference'!$B$6:$Q$1174,9,0)),"x",VLOOKUP($A28,'liste reference'!$B$6:$Q$1174,9,0)),VLOOKUP($A28,'liste reference'!$A$6:$Q$1174,10,0)))</f>
        <v>5</v>
      </c>
      <c r="I28" s="281" t="n">
        <f aca="false">IF(A28="","",1)</f>
        <v>1</v>
      </c>
      <c r="J28" s="497" t="n">
        <f aca="false">IF(ISNUMBER($H28),IF(ISERROR(VLOOKUP($A28,'liste reference'!$A$6:$Q$1174,6,0)),IF(ISERROR(VLOOKUP($A28,'liste reference'!$B$6:$Q$1174,5,0)),"nu",VLOOKUP($A28,'liste reference'!$B$6:$Q$1174,5,0)),VLOOKUP($A28,'liste reference'!$A$6:$Q$1174,6,0)),"nu")</f>
        <v>12</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Fissidens crassipes</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1294</v>
      </c>
      <c r="R28" s="484" t="n">
        <f aca="false">IF(ISTEXT(H28),"",(B28*$B$7/100)+(C28*$C$7/100))</f>
        <v>0.0024</v>
      </c>
      <c r="S28" s="485" t="n">
        <f aca="false">IF(OR(ISTEXT(H28),R28=0),"",IF(R28&lt;0.1,1,IF(R28&lt;1,2,IF(R28&lt;10,3,IF(R28&lt;50,4,IF(R28&gt;=50,5,""))))))</f>
        <v>1</v>
      </c>
      <c r="T28" s="485" t="n">
        <f aca="false">IF(ISERROR(S28*J28),0,S28*J28)</f>
        <v>12</v>
      </c>
      <c r="U28" s="485" t="n">
        <f aca="false">IF(ISERROR(S28*J28*K28),0,S28*J28*K28)</f>
        <v>24</v>
      </c>
      <c r="V28" s="501" t="n">
        <f aca="false">IF(ISERROR(S28*K28),0,S28*K28)</f>
        <v>2</v>
      </c>
      <c r="W28" s="502"/>
      <c r="X28" s="503"/>
      <c r="Y28" s="488" t="str">
        <f aca="false">IF(AND(ISNUMBER(F28),OR(A28="",A28="!!!!!!")),"!!!!!!",IF(A28="new.cod","NEWCOD",IF(AND((Z28=""),ISTEXT(A28),A28&lt;&gt;"!!!!!!"),A28,IF(Z28="","",INDEX('liste reference'!$A$6:$A$1174,Z28)))))</f>
        <v>FISCRA</v>
      </c>
      <c r="Z28" s="470" t="n">
        <f aca="false">IF(ISERROR(MATCH(A28,'liste reference'!$A$6:$A$1174,0)),IF(ISERROR(MATCH(A28,'liste reference'!$B$6:$B$1174,0)),"",(MATCH(A28,'liste reference'!$B$6:$B$1174,0))),(MATCH(A28,'liste reference'!$A$6:$A$1174,0)))</f>
        <v>255</v>
      </c>
    </row>
    <row r="29" customFormat="false" ht="12.75" hidden="false" customHeight="false" outlineLevel="0" collapsed="false">
      <c r="A29" s="489" t="s">
        <v>974</v>
      </c>
      <c r="B29" s="490" t="n">
        <v>0.005</v>
      </c>
      <c r="C29" s="491"/>
      <c r="D29" s="492" t="str">
        <f aca="false">IF(ISERROR(VLOOKUP($A29,'liste reference'!$A$6:$B$1174,2,0)),IF(ISERROR(VLOOKUP($A29,'liste reference'!$B$6:$B$1174,1,0)),"",VLOOKUP($A29,'liste reference'!$B$6:$B$1174,1,0)),VLOOKUP($A29,'liste reference'!$A$6:$B$1174,2,0))</f>
        <v>Leptodictyum riparium </v>
      </c>
      <c r="E29" s="493" t="e">
        <f aca="false">IF(D29="",0,VLOOKUP(D29,D$22:D28,1,0))</f>
        <v>#N/A</v>
      </c>
      <c r="F29" s="494" t="n">
        <f aca="false">IF(AND(OR(A29="",A29="!!!!!!"),B29="",C29=""),"",IF(OR(AND(B29="",C29=""),ISERROR(C29+B29)),"!!!",($B29*$B$7+$C29*$C$7)/100))</f>
        <v>0.0024</v>
      </c>
      <c r="G29" s="495" t="str">
        <f aca="false">IF(A29="","",IF(ISERROR(VLOOKUP($A29,'liste reference'!$A$6:$Q$1174,9,0)),IF(ISERROR(VLOOKUP($A29,'liste reference'!$B$6:$Q$1174,8,0)),"    -",VLOOKUP($A29,'liste reference'!$B$6:$Q$1174,8,0)),VLOOKUP($A29,'liste reference'!$A$6:$Q$1174,9,0)))</f>
        <v>BRm</v>
      </c>
      <c r="H29" s="496" t="n">
        <f aca="false">IF(A29="","x",IF(ISERROR(VLOOKUP($A29,'liste reference'!$A$6:$Q$1174,10,0)),IF(ISERROR(VLOOKUP($A29,'liste reference'!$B$6:$Q$1174,9,0)),"x",VLOOKUP($A29,'liste reference'!$B$6:$Q$1174,9,0)),VLOOKUP($A29,'liste reference'!$A$6:$Q$1174,10,0)))</f>
        <v>5</v>
      </c>
      <c r="I29" s="281" t="n">
        <f aca="false">IF(A29="","",1)</f>
        <v>1</v>
      </c>
      <c r="J29" s="497" t="n">
        <f aca="false">IF(ISNUMBER($H29),IF(ISERROR(VLOOKUP($A29,'liste reference'!$A$6:$Q$1174,6,0)),IF(ISERROR(VLOOKUP($A29,'liste reference'!$B$6:$Q$1174,5,0)),"nu",VLOOKUP($A29,'liste reference'!$B$6:$Q$1174,5,0)),VLOOKUP($A29,'liste reference'!$A$6:$Q$1174,6,0)),"nu")</f>
        <v>5</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Leptodictyum riparium </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1244</v>
      </c>
      <c r="R29" s="484" t="n">
        <f aca="false">IF(ISTEXT(H29),"",(B29*$B$7/100)+(C29*$C$7/100))</f>
        <v>0.0024</v>
      </c>
      <c r="S29" s="485" t="n">
        <f aca="false">IF(OR(ISTEXT(H29),R29=0),"",IF(R29&lt;0.1,1,IF(R29&lt;1,2,IF(R29&lt;10,3,IF(R29&lt;50,4,IF(R29&gt;=50,5,""))))))</f>
        <v>1</v>
      </c>
      <c r="T29" s="485" t="n">
        <f aca="false">IF(ISERROR(S29*J29),0,S29*J29)</f>
        <v>5</v>
      </c>
      <c r="U29" s="485" t="n">
        <f aca="false">IF(ISERROR(S29*J29*K29),0,S29*J29*K29)</f>
        <v>10</v>
      </c>
      <c r="V29" s="501" t="n">
        <f aca="false">IF(ISERROR(S29*K29),0,S29*K29)</f>
        <v>2</v>
      </c>
      <c r="W29" s="502"/>
      <c r="X29" s="503"/>
      <c r="Y29" s="488" t="str">
        <f aca="false">IF(AND(ISNUMBER(F29),OR(A29="",A29="!!!!!!")),"!!!!!!",IF(A29="new.cod","NEWCOD",IF(AND((Z29=""),ISTEXT(A29),A29&lt;&gt;"!!!!!!"),A29,IF(Z29="","",INDEX('liste reference'!$A$6:$A$1174,Z29)))))</f>
        <v>LEORIP</v>
      </c>
      <c r="Z29" s="470" t="n">
        <f aca="false">IF(ISERROR(MATCH(A29,'liste reference'!$A$6:$A$1174,0)),IF(ISERROR(MATCH(A29,'liste reference'!$B$6:$B$1174,0)),"",(MATCH(A29,'liste reference'!$B$6:$B$1174,0))),(MATCH(A29,'liste reference'!$A$6:$A$1174,0)))</f>
        <v>298</v>
      </c>
    </row>
    <row r="30" customFormat="false" ht="12.75" hidden="false" customHeight="false" outlineLevel="0" collapsed="false">
      <c r="A30" s="489" t="s">
        <v>1277</v>
      </c>
      <c r="B30" s="490"/>
      <c r="C30" s="491" t="n">
        <v>0.005</v>
      </c>
      <c r="D30" s="492" t="str">
        <f aca="false">IF(ISERROR(VLOOKUP($A30,'liste reference'!$A$6:$B$1174,2,0)),IF(ISERROR(VLOOKUP($A30,'liste reference'!$B$6:$B$1174,1,0)),"",VLOOKUP($A30,'liste reference'!$B$6:$B$1174,1,0)),VLOOKUP($A30,'liste reference'!$A$6:$B$1174,2,0))</f>
        <v>Equisetum telmateia</v>
      </c>
      <c r="E30" s="493" t="e">
        <f aca="false">IF(D30="",0,VLOOKUP(D30,D$22:D29,1,0))</f>
        <v>#N/A</v>
      </c>
      <c r="F30" s="494" t="n">
        <f aca="false">IF(AND(OR(A30="",A30="!!!!!!"),B30="",C30=""),"",IF(OR(AND(B30="",C30=""),ISERROR(C30+B30)),"!!!",($B30*$B$7+$C30*$C$7)/100))</f>
        <v>0.0026</v>
      </c>
      <c r="G30" s="495" t="str">
        <f aca="false">IF(A30="","",IF(ISERROR(VLOOKUP($A30,'liste reference'!$A$6:$Q$1174,9,0)),IF(ISERROR(VLOOKUP($A30,'liste reference'!$B$6:$Q$1174,8,0)),"    -",VLOOKUP($A30,'liste reference'!$B$6:$Q$1174,8,0)),VLOOKUP($A30,'liste reference'!$A$6:$Q$1174,9,0)))</f>
        <v>PTE</v>
      </c>
      <c r="H30" s="496" t="n">
        <f aca="false">IF(A30="","x",IF(ISERROR(VLOOKUP($A30,'liste reference'!$A$6:$Q$1174,10,0)),IF(ISERROR(VLOOKUP($A30,'liste reference'!$B$6:$Q$1174,9,0)),"x",VLOOKUP($A30,'liste reference'!$B$6:$Q$1174,9,0)),VLOOKUP($A30,'liste reference'!$A$6:$Q$1174,10,0)))</f>
        <v>6</v>
      </c>
      <c r="I30" s="281" t="n">
        <f aca="false">IF(A30="","",1)</f>
        <v>1</v>
      </c>
      <c r="J30" s="497" t="str">
        <f aca="false">IF(ISNUMBER($H30),IF(ISERROR(VLOOKUP($A30,'liste reference'!$A$6:$Q$1174,6,0)),IF(ISERROR(VLOOKUP($A30,'liste reference'!$B$6:$Q$1174,5,0)),"nu",VLOOKUP($A30,'liste reference'!$B$6:$Q$1174,5,0)),VLOOKUP($A30,'liste reference'!$A$6:$Q$1174,6,0)),"nu")</f>
        <v>nc</v>
      </c>
      <c r="K30" s="497" t="str">
        <f aca="false">IF(ISNUMBER($H30),IF(ISERROR(VLOOKUP($A30,'liste reference'!$A$6:$Q$1174,7,0)),IF(ISERROR(VLOOKUP($A30,'liste reference'!$B$6:$Q$1174,6,0)),"nu",VLOOKUP($A30,'liste reference'!$B$6:$Q$1174,6,0)),VLOOKUP($A30,'liste reference'!$A$6:$Q$1174,7,0)),"nu")</f>
        <v>nc</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Equisetum telmateia</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29958</v>
      </c>
      <c r="R30" s="484" t="n">
        <f aca="false">IF(ISTEXT(H30),"",(B30*$B$7/100)+(C30*$C$7/100))</f>
        <v>0.0026</v>
      </c>
      <c r="S30" s="485" t="n">
        <f aca="false">IF(OR(ISTEXT(H30),R30=0),"",IF(R30&lt;0.1,1,IF(R30&lt;1,2,IF(R30&lt;10,3,IF(R30&lt;50,4,IF(R30&gt;=50,5,""))))))</f>
        <v>1</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EQUTEL</v>
      </c>
      <c r="Z30" s="470" t="n">
        <f aca="false">IF(ISERROR(MATCH(A30,'liste reference'!$A$6:$A$1174,0)),IF(ISERROR(MATCH(A30,'liste reference'!$B$6:$B$1174,0)),"",(MATCH(A30,'liste reference'!$B$6:$B$1174,0))),(MATCH(A30,'liste reference'!$A$6:$A$1174,0)))</f>
        <v>393</v>
      </c>
    </row>
    <row r="31" customFormat="false" ht="12.75" hidden="false" customHeight="false" outlineLevel="0" collapsed="false">
      <c r="A31" s="489" t="s">
        <v>1936</v>
      </c>
      <c r="B31" s="490" t="n">
        <v>0.005</v>
      </c>
      <c r="C31" s="491"/>
      <c r="D31" s="492" t="str">
        <f aca="false">IF(ISERROR(VLOOKUP($A31,'liste reference'!$A$6:$B$1174,2,0)),IF(ISERROR(VLOOKUP($A31,'liste reference'!$B$6:$B$1174,1,0)),"",VLOOKUP($A31,'liste reference'!$B$6:$B$1174,1,0)),VLOOKUP($A31,'liste reference'!$A$6:$B$1174,2,0))</f>
        <v>Berula erecta</v>
      </c>
      <c r="E31" s="493" t="e">
        <f aca="false">IF(D31="",0,VLOOKUP(D31,D$22:D30,1,0))</f>
        <v>#N/A</v>
      </c>
      <c r="F31" s="494" t="n">
        <f aca="false">IF(AND(OR(A31="",A31="!!!!!!"),B31="",C31=""),"",IF(OR(AND(B31="",C31=""),ISERROR(C31+B31)),"!!!",($B31*$B$7+$C31*$C$7)/100))</f>
        <v>0.0024</v>
      </c>
      <c r="G31" s="495" t="str">
        <f aca="false">IF(A31="","",IF(ISERROR(VLOOKUP($A31,'liste reference'!$A$6:$Q$1174,9,0)),IF(ISERROR(VLOOKUP($A31,'liste reference'!$B$6:$Q$1174,8,0)),"    -",VLOOKUP($A31,'liste reference'!$B$6:$Q$1174,8,0)),VLOOKUP($A31,'liste reference'!$A$6:$Q$1174,9,0)))</f>
        <v>PHe</v>
      </c>
      <c r="H31" s="496" t="n">
        <f aca="false">IF(A31="","x",IF(ISERROR(VLOOKUP($A31,'liste reference'!$A$6:$Q$1174,10,0)),IF(ISERROR(VLOOKUP($A31,'liste reference'!$B$6:$Q$1174,9,0)),"x",VLOOKUP($A31,'liste reference'!$B$6:$Q$1174,9,0)),VLOOKUP($A31,'liste reference'!$A$6:$Q$1174,10,0)))</f>
        <v>8</v>
      </c>
      <c r="I31" s="281" t="n">
        <f aca="false">IF(A31="","",1)</f>
        <v>1</v>
      </c>
      <c r="J31" s="497" t="n">
        <f aca="false">IF(ISNUMBER($H31),IF(ISERROR(VLOOKUP($A31,'liste reference'!$A$6:$Q$1174,6,0)),IF(ISERROR(VLOOKUP($A31,'liste reference'!$B$6:$Q$1174,5,0)),"nu",VLOOKUP($A31,'liste reference'!$B$6:$Q$1174,5,0)),VLOOKUP($A31,'liste reference'!$A$6:$Q$1174,6,0)),"nu")</f>
        <v>14</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Berula erecta</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1977</v>
      </c>
      <c r="R31" s="484" t="n">
        <f aca="false">IF(ISTEXT(H31),"",(B31*$B$7/100)+(C31*$C$7/100))</f>
        <v>0.0024</v>
      </c>
      <c r="S31" s="485" t="n">
        <f aca="false">IF(OR(ISTEXT(H31),R31=0),"",IF(R31&lt;0.1,1,IF(R31&lt;1,2,IF(R31&lt;10,3,IF(R31&lt;50,4,IF(R31&gt;=50,5,""))))))</f>
        <v>1</v>
      </c>
      <c r="T31" s="485" t="n">
        <f aca="false">IF(ISERROR(S31*J31),0,S31*J31)</f>
        <v>14</v>
      </c>
      <c r="U31" s="485" t="n">
        <f aca="false">IF(ISERROR(S31*J31*K31),0,S31*J31*K31)</f>
        <v>28</v>
      </c>
      <c r="V31" s="501" t="n">
        <f aca="false">IF(ISERROR(S31*K31),0,S31*K31)</f>
        <v>2</v>
      </c>
      <c r="W31" s="502"/>
      <c r="X31" s="503"/>
      <c r="Y31" s="488" t="str">
        <f aca="false">IF(AND(ISNUMBER(F31),OR(A31="",A31="!!!!!!")),"!!!!!!",IF(A31="new.cod","NEWCOD",IF(AND((Z31=""),ISTEXT(A31),A31&lt;&gt;"!!!!!!"),A31,IF(Z31="","",INDEX('liste reference'!$A$6:$A$1174,Z31)))))</f>
        <v>BERERE</v>
      </c>
      <c r="Z31" s="470" t="n">
        <f aca="false">IF(ISERROR(MATCH(A31,'liste reference'!$A$6:$A$1174,0)),IF(ISERROR(MATCH(A31,'liste reference'!$B$6:$B$1174,0)),"",(MATCH(A31,'liste reference'!$B$6:$B$1174,0))),(MATCH(A31,'liste reference'!$A$6:$A$1174,0)))</f>
        <v>625</v>
      </c>
    </row>
    <row r="32" customFormat="false" ht="12.75" hidden="false" customHeight="false" outlineLevel="0" collapsed="false">
      <c r="A32" s="489" t="s">
        <v>2105</v>
      </c>
      <c r="B32" s="490" t="n">
        <v>2.5</v>
      </c>
      <c r="C32" s="491" t="n">
        <v>4</v>
      </c>
      <c r="D32" s="492" t="str">
        <f aca="false">IF(ISERROR(VLOOKUP($A32,'liste reference'!$A$6:$B$1174,2,0)),IF(ISERROR(VLOOKUP($A32,'liste reference'!$B$6:$B$1174,1,0)),"",VLOOKUP($A32,'liste reference'!$B$6:$B$1174,1,0)),VLOOKUP($A32,'liste reference'!$A$6:$B$1174,2,0))</f>
        <v>Iris pseudacorus</v>
      </c>
      <c r="E32" s="493" t="e">
        <f aca="false">IF(D32="",0,VLOOKUP(D32,D$22:D31,1,0))</f>
        <v>#N/A</v>
      </c>
      <c r="F32" s="494" t="n">
        <f aca="false">IF(AND(OR(A32="",A32="!!!!!!"),B32="",C32=""),"",IF(OR(AND(B32="",C32=""),ISERROR(C32+B32)),"!!!",($B32*$B$7+$C32*$C$7)/100))</f>
        <v>3.28</v>
      </c>
      <c r="G32" s="495" t="str">
        <f aca="false">IF(A32="","",IF(ISERROR(VLOOKUP($A32,'liste reference'!$A$6:$Q$1174,9,0)),IF(ISERROR(VLOOKUP($A32,'liste reference'!$B$6:$Q$1174,8,0)),"    -",VLOOKUP($A32,'liste reference'!$B$6:$Q$1174,8,0)),VLOOKUP($A32,'liste reference'!$A$6:$Q$1174,9,0)))</f>
        <v>PHe</v>
      </c>
      <c r="H32" s="496" t="n">
        <f aca="false">IF(A32="","x",IF(ISERROR(VLOOKUP($A32,'liste reference'!$A$6:$Q$1174,10,0)),IF(ISERROR(VLOOKUP($A32,'liste reference'!$B$6:$Q$1174,9,0)),"x",VLOOKUP($A32,'liste reference'!$B$6:$Q$1174,9,0)),VLOOKUP($A32,'liste reference'!$A$6:$Q$1174,10,0)))</f>
        <v>8</v>
      </c>
      <c r="I32" s="281" t="n">
        <f aca="false">IF(A32="","",1)</f>
        <v>1</v>
      </c>
      <c r="J32" s="497" t="n">
        <f aca="false">IF(ISNUMBER($H32),IF(ISERROR(VLOOKUP($A32,'liste reference'!$A$6:$Q$1174,6,0)),IF(ISERROR(VLOOKUP($A32,'liste reference'!$B$6:$Q$1174,5,0)),"nu",VLOOKUP($A32,'liste reference'!$B$6:$Q$1174,5,0)),VLOOKUP($A32,'liste reference'!$A$6:$Q$1174,6,0)),"nu")</f>
        <v>10</v>
      </c>
      <c r="K32" s="497" t="n">
        <f aca="false">IF(ISNUMBER($H32),IF(ISERROR(VLOOKUP($A32,'liste reference'!$A$6:$Q$1174,7,0)),IF(ISERROR(VLOOKUP($A32,'liste reference'!$B$6:$Q$1174,6,0)),"nu",VLOOKUP($A32,'liste reference'!$B$6:$Q$1174,6,0)),VLOOKUP($A32,'liste reference'!$A$6:$Q$1174,7,0)),"nu")</f>
        <v>1</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Iris pseudacorus</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1601</v>
      </c>
      <c r="R32" s="484" t="n">
        <f aca="false">IF(ISTEXT(H32),"",(B32*$B$7/100)+(C32*$C$7/100))</f>
        <v>3.28</v>
      </c>
      <c r="S32" s="485" t="n">
        <f aca="false">IF(OR(ISTEXT(H32),R32=0),"",IF(R32&lt;0.1,1,IF(R32&lt;1,2,IF(R32&lt;10,3,IF(R32&lt;50,4,IF(R32&gt;=50,5,""))))))</f>
        <v>3</v>
      </c>
      <c r="T32" s="485" t="n">
        <f aca="false">IF(ISERROR(S32*J32),0,S32*J32)</f>
        <v>30</v>
      </c>
      <c r="U32" s="485" t="n">
        <f aca="false">IF(ISERROR(S32*J32*K32),0,S32*J32*K32)</f>
        <v>30</v>
      </c>
      <c r="V32" s="501" t="n">
        <f aca="false">IF(ISERROR(S32*K32),0,S32*K32)</f>
        <v>3</v>
      </c>
      <c r="W32" s="502"/>
      <c r="X32" s="503"/>
      <c r="Y32" s="488" t="str">
        <f aca="false">IF(AND(ISNUMBER(F32),OR(A32="",A32="!!!!!!")),"!!!!!!",IF(A32="new.cod","NEWCOD",IF(AND((Z32=""),ISTEXT(A32),A32&lt;&gt;"!!!!!!"),A32,IF(Z32="","",INDEX('liste reference'!$A$6:$A$1174,Z32)))))</f>
        <v>IRIPSE</v>
      </c>
      <c r="Z32" s="470" t="n">
        <f aca="false">IF(ISERROR(MATCH(A32,'liste reference'!$A$6:$A$1174,0)),IF(ISERROR(MATCH(A32,'liste reference'!$B$6:$B$1174,0)),"",(MATCH(A32,'liste reference'!$B$6:$B$1174,0))),(MATCH(A32,'liste reference'!$A$6:$A$1174,0)))</f>
        <v>682</v>
      </c>
    </row>
    <row r="33" customFormat="false" ht="12.75" hidden="false" customHeight="false" outlineLevel="0" collapsed="false">
      <c r="A33" s="489" t="s">
        <v>2132</v>
      </c>
      <c r="B33" s="490" t="n">
        <v>0.005</v>
      </c>
      <c r="C33" s="491"/>
      <c r="D33" s="492" t="str">
        <f aca="false">IF(ISERROR(VLOOKUP($A33,'liste reference'!$A$6:$B$1174,2,0)),IF(ISERROR(VLOOKUP($A33,'liste reference'!$B$6:$B$1174,1,0)),"",VLOOKUP($A33,'liste reference'!$B$6:$B$1174,1,0)),VLOOKUP($A33,'liste reference'!$A$6:$B$1174,2,0))</f>
        <v>Lycopus europaeus</v>
      </c>
      <c r="E33" s="493" t="e">
        <f aca="false">IF(D33="",0,VLOOKUP(D33,D$22:D32,1,0))</f>
        <v>#N/A</v>
      </c>
      <c r="F33" s="494" t="n">
        <f aca="false">IF(AND(OR(A33="",A33="!!!!!!"),B33="",C33=""),"",IF(OR(AND(B33="",C33=""),ISERROR(C33+B33)),"!!!",($B33*$B$7+$C33*$C$7)/100))</f>
        <v>0.0024</v>
      </c>
      <c r="G33" s="495" t="str">
        <f aca="false">IF(A33="","",IF(ISERROR(VLOOKUP($A33,'liste reference'!$A$6:$Q$1174,9,0)),IF(ISERROR(VLOOKUP($A33,'liste reference'!$B$6:$Q$1174,8,0)),"    -",VLOOKUP($A33,'liste reference'!$B$6:$Q$1174,8,0)),VLOOKUP($A33,'liste reference'!$A$6:$Q$1174,9,0)))</f>
        <v>PHe</v>
      </c>
      <c r="H33" s="496" t="n">
        <f aca="false">IF(A33="","x",IF(ISERROR(VLOOKUP($A33,'liste reference'!$A$6:$Q$1174,10,0)),IF(ISERROR(VLOOKUP($A33,'liste reference'!$B$6:$Q$1174,9,0)),"x",VLOOKUP($A33,'liste reference'!$B$6:$Q$1174,9,0)),VLOOKUP($A33,'liste reference'!$A$6:$Q$1174,10,0)))</f>
        <v>8</v>
      </c>
      <c r="I33" s="281" t="n">
        <f aca="false">IF(A33="","",1)</f>
        <v>1</v>
      </c>
      <c r="J33" s="497" t="n">
        <f aca="false">IF(ISNUMBER($H33),IF(ISERROR(VLOOKUP($A33,'liste reference'!$A$6:$Q$1174,6,0)),IF(ISERROR(VLOOKUP($A33,'liste reference'!$B$6:$Q$1174,5,0)),"nu",VLOOKUP($A33,'liste reference'!$B$6:$Q$1174,5,0)),VLOOKUP($A33,'liste reference'!$A$6:$Q$1174,6,0)),"nu")</f>
        <v>11</v>
      </c>
      <c r="K33" s="497" t="n">
        <f aca="false">IF(ISNUMBER($H33),IF(ISERROR(VLOOKUP($A33,'liste reference'!$A$6:$Q$1174,7,0)),IF(ISERROR(VLOOKUP($A33,'liste reference'!$B$6:$Q$1174,6,0)),"nu",VLOOKUP($A33,'liste reference'!$B$6:$Q$1174,6,0)),VLOOKUP($A33,'liste reference'!$A$6:$Q$1174,7,0)),"nu")</f>
        <v>1</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Lycopus europaeus</v>
      </c>
      <c r="M33" s="498"/>
      <c r="N33" s="498"/>
      <c r="O33" s="498"/>
      <c r="P33" s="499" t="s">
        <v>3448</v>
      </c>
      <c r="Q33" s="500" t="n">
        <f aca="false">IF(OR($A33="NEWCOD",$A33="!!!!!!"),IF(X33="","NoCod",X33),IF($A33="","",IF(ISERROR(VLOOKUP($A33,'liste reference'!$A$6:$H$1174,8,0)),IF(ISERROR(VLOOKUP($A33,'liste reference'!$B$6:$H$1174,7,0)),"",VLOOKUP($A33,'liste reference'!$B$6:$H$1174,7,0)),VLOOKUP($A33,'liste reference'!$A$6:$H$1174,8,0))))</f>
        <v>1789</v>
      </c>
      <c r="R33" s="484" t="n">
        <f aca="false">IF(ISTEXT(H33),"",(B33*$B$7/100)+(C33*$C$7/100))</f>
        <v>0.0024</v>
      </c>
      <c r="S33" s="485" t="n">
        <f aca="false">IF(OR(ISTEXT(H33),R33=0),"",IF(R33&lt;0.1,1,IF(R33&lt;1,2,IF(R33&lt;10,3,IF(R33&lt;50,4,IF(R33&gt;=50,5,""))))))</f>
        <v>1</v>
      </c>
      <c r="T33" s="485" t="n">
        <f aca="false">IF(ISERROR(S33*J33),0,S33*J33)</f>
        <v>11</v>
      </c>
      <c r="U33" s="485" t="n">
        <f aca="false">IF(ISERROR(S33*J33*K33),0,S33*J33*K33)</f>
        <v>11</v>
      </c>
      <c r="V33" s="501" t="n">
        <f aca="false">IF(ISERROR(S33*K33),0,S33*K33)</f>
        <v>1</v>
      </c>
      <c r="W33" s="502"/>
      <c r="X33" s="503"/>
      <c r="Y33" s="488" t="str">
        <f aca="false">IF(AND(ISNUMBER(F33),OR(A33="",A33="!!!!!!")),"!!!!!!",IF(A33="new.cod","NEWCOD",IF(AND((Z33=""),ISTEXT(A33),A33&lt;&gt;"!!!!!!"),A33,IF(Z33="","",INDEX('liste reference'!$A$6:$A$1174,Z33)))))</f>
        <v>LYCEUR</v>
      </c>
      <c r="Z33" s="470" t="n">
        <f aca="false">IF(ISERROR(MATCH(A33,'liste reference'!$A$6:$A$1174,0)),IF(ISERROR(MATCH(A33,'liste reference'!$B$6:$B$1174,0)),"",(MATCH(A33,'liste reference'!$B$6:$B$1174,0))),(MATCH(A33,'liste reference'!$A$6:$A$1174,0)))</f>
        <v>692</v>
      </c>
    </row>
    <row r="34" customFormat="false" ht="12.75" hidden="false" customHeight="false" outlineLevel="0" collapsed="false">
      <c r="A34" s="489" t="s">
        <v>2136</v>
      </c>
      <c r="B34" s="490" t="n">
        <v>1</v>
      </c>
      <c r="C34" s="491" t="n">
        <v>0.75</v>
      </c>
      <c r="D34" s="492" t="str">
        <f aca="false">IF(ISERROR(VLOOKUP($A34,'liste reference'!$A$6:$B$1174,2,0)),IF(ISERROR(VLOOKUP($A34,'liste reference'!$B$6:$B$1174,1,0)),"",VLOOKUP($A34,'liste reference'!$B$6:$B$1174,1,0)),VLOOKUP($A34,'liste reference'!$A$6:$B$1174,2,0))</f>
        <v>Mentha aquatica</v>
      </c>
      <c r="E34" s="493" t="e">
        <f aca="false">IF(D34="",0,VLOOKUP(D34,D$22:D33,1,0))</f>
        <v>#N/A</v>
      </c>
      <c r="F34" s="494" t="n">
        <f aca="false">IF(AND(OR(A34="",A34="!!!!!!"),B34="",C34=""),"",IF(OR(AND(B34="",C34=""),ISERROR(C34+B34)),"!!!",($B34*$B$7+$C34*$C$7)/100))</f>
        <v>0.87</v>
      </c>
      <c r="G34" s="495" t="str">
        <f aca="false">IF(A34="","",IF(ISERROR(VLOOKUP($A34,'liste reference'!$A$6:$Q$1174,9,0)),IF(ISERROR(VLOOKUP($A34,'liste reference'!$B$6:$Q$1174,8,0)),"    -",VLOOKUP($A34,'liste reference'!$B$6:$Q$1174,8,0)),VLOOKUP($A34,'liste reference'!$A$6:$Q$1174,9,0)))</f>
        <v>PHe</v>
      </c>
      <c r="H34" s="496" t="n">
        <f aca="false">IF(A34="","x",IF(ISERROR(VLOOKUP($A34,'liste reference'!$A$6:$Q$1174,10,0)),IF(ISERROR(VLOOKUP($A34,'liste reference'!$B$6:$Q$1174,9,0)),"x",VLOOKUP($A34,'liste reference'!$B$6:$Q$1174,9,0)),VLOOKUP($A34,'liste reference'!$A$6:$Q$1174,10,0)))</f>
        <v>8</v>
      </c>
      <c r="I34" s="281" t="n">
        <f aca="false">IF(A34="","",1)</f>
        <v>1</v>
      </c>
      <c r="J34" s="497" t="n">
        <f aca="false">IF(ISNUMBER($H34),IF(ISERROR(VLOOKUP($A34,'liste reference'!$A$6:$Q$1174,6,0)),IF(ISERROR(VLOOKUP($A34,'liste reference'!$B$6:$Q$1174,5,0)),"nu",VLOOKUP($A34,'liste reference'!$B$6:$Q$1174,5,0)),VLOOKUP($A34,'liste reference'!$A$6:$Q$1174,6,0)),"nu")</f>
        <v>12</v>
      </c>
      <c r="K34" s="497" t="n">
        <f aca="false">IF(ISNUMBER($H34),IF(ISERROR(VLOOKUP($A34,'liste reference'!$A$6:$Q$1174,7,0)),IF(ISERROR(VLOOKUP($A34,'liste reference'!$B$6:$Q$1174,6,0)),"nu",VLOOKUP($A34,'liste reference'!$B$6:$Q$1174,6,0)),VLOOKUP($A34,'liste reference'!$A$6:$Q$1174,7,0)),"nu")</f>
        <v>1</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Mentha aquatica</v>
      </c>
      <c r="M34" s="498"/>
      <c r="N34" s="498"/>
      <c r="O34" s="498"/>
      <c r="P34" s="499" t="s">
        <v>3448</v>
      </c>
      <c r="Q34" s="500" t="n">
        <f aca="false">IF(OR($A34="NEWCOD",$A34="!!!!!!"),IF(X34="","NoCod",X34),IF($A34="","",IF(ISERROR(VLOOKUP($A34,'liste reference'!$A$6:$H$1174,8,0)),IF(ISERROR(VLOOKUP($A34,'liste reference'!$B$6:$H$1174,7,0)),"",VLOOKUP($A34,'liste reference'!$B$6:$H$1174,7,0)),VLOOKUP($A34,'liste reference'!$A$6:$H$1174,8,0))))</f>
        <v>1791</v>
      </c>
      <c r="R34" s="484" t="n">
        <f aca="false">IF(ISTEXT(H34),"",(B34*$B$7/100)+(C34*$C$7/100))</f>
        <v>0.87</v>
      </c>
      <c r="S34" s="485" t="n">
        <f aca="false">IF(OR(ISTEXT(H34),R34=0),"",IF(R34&lt;0.1,1,IF(R34&lt;1,2,IF(R34&lt;10,3,IF(R34&lt;50,4,IF(R34&gt;=50,5,""))))))</f>
        <v>2</v>
      </c>
      <c r="T34" s="485" t="n">
        <f aca="false">IF(ISERROR(S34*J34),0,S34*J34)</f>
        <v>24</v>
      </c>
      <c r="U34" s="485" t="n">
        <f aca="false">IF(ISERROR(S34*J34*K34),0,S34*J34*K34)</f>
        <v>24</v>
      </c>
      <c r="V34" s="501" t="n">
        <f aca="false">IF(ISERROR(S34*K34),0,S34*K34)</f>
        <v>2</v>
      </c>
      <c r="W34" s="502"/>
      <c r="X34" s="503"/>
      <c r="Y34" s="488" t="str">
        <f aca="false">IF(AND(ISNUMBER(F34),OR(A34="",A34="!!!!!!")),"!!!!!!",IF(A34="new.cod","NEWCOD",IF(AND((Z34=""),ISTEXT(A34),A34&lt;&gt;"!!!!!!"),A34,IF(Z34="","",INDEX('liste reference'!$A$6:$A$1174,Z34)))))</f>
        <v>MENAQU</v>
      </c>
      <c r="Z34" s="470" t="n">
        <f aca="false">IF(ISERROR(MATCH(A34,'liste reference'!$A$6:$A$1174,0)),IF(ISERROR(MATCH(A34,'liste reference'!$B$6:$B$1174,0)),"",(MATCH(A34,'liste reference'!$B$6:$B$1174,0))),(MATCH(A34,'liste reference'!$A$6:$A$1174,0)))</f>
        <v>694</v>
      </c>
    </row>
    <row r="35" customFormat="false" ht="12.75" hidden="false" customHeight="false" outlineLevel="0" collapsed="false">
      <c r="A35" s="489" t="s">
        <v>2154</v>
      </c>
      <c r="B35" s="490" t="n">
        <v>0.7</v>
      </c>
      <c r="C35" s="491" t="n">
        <v>3</v>
      </c>
      <c r="D35" s="492" t="str">
        <f aca="false">IF(ISERROR(VLOOKUP($A35,'liste reference'!$A$6:$B$1174,2,0)),IF(ISERROR(VLOOKUP($A35,'liste reference'!$B$6:$B$1174,1,0)),"",VLOOKUP($A35,'liste reference'!$B$6:$B$1174,1,0)),VLOOKUP($A35,'liste reference'!$A$6:$B$1174,2,0))</f>
        <v>Myosotis scorpioides</v>
      </c>
      <c r="E35" s="493" t="e">
        <f aca="false">IF(D35="",0,VLOOKUP(D35,D$22:D34,1,0))</f>
        <v>#N/A</v>
      </c>
      <c r="F35" s="494" t="n">
        <f aca="false">IF(AND(OR(A35="",A35="!!!!!!"),B35="",C35=""),"",IF(OR(AND(B35="",C35=""),ISERROR(C35+B35)),"!!!",($B35*$B$7+$C35*$C$7)/100))</f>
        <v>1.896</v>
      </c>
      <c r="G35" s="495" t="str">
        <f aca="false">IF(A35="","",IF(ISERROR(VLOOKUP($A35,'liste reference'!$A$6:$Q$1174,9,0)),IF(ISERROR(VLOOKUP($A35,'liste reference'!$B$6:$Q$1174,8,0)),"    -",VLOOKUP($A35,'liste reference'!$B$6:$Q$1174,8,0)),VLOOKUP($A35,'liste reference'!$A$6:$Q$1174,9,0)))</f>
        <v>PHe</v>
      </c>
      <c r="H35" s="496" t="n">
        <f aca="false">IF(A35="","x",IF(ISERROR(VLOOKUP($A35,'liste reference'!$A$6:$Q$1174,10,0)),IF(ISERROR(VLOOKUP($A35,'liste reference'!$B$6:$Q$1174,9,0)),"x",VLOOKUP($A35,'liste reference'!$B$6:$Q$1174,9,0)),VLOOKUP($A35,'liste reference'!$A$6:$Q$1174,10,0)))</f>
        <v>8</v>
      </c>
      <c r="I35" s="281" t="n">
        <f aca="false">IF(A35="","",1)</f>
        <v>1</v>
      </c>
      <c r="J35" s="497" t="n">
        <f aca="false">IF(ISNUMBER($H35),IF(ISERROR(VLOOKUP($A35,'liste reference'!$A$6:$Q$1174,6,0)),IF(ISERROR(VLOOKUP($A35,'liste reference'!$B$6:$Q$1174,5,0)),"nu",VLOOKUP($A35,'liste reference'!$B$6:$Q$1174,5,0)),VLOOKUP($A35,'liste reference'!$A$6:$Q$1174,6,0)),"nu")</f>
        <v>12</v>
      </c>
      <c r="K35" s="497" t="n">
        <f aca="false">IF(ISNUMBER($H35),IF(ISERROR(VLOOKUP($A35,'liste reference'!$A$6:$Q$1174,7,0)),IF(ISERROR(VLOOKUP($A35,'liste reference'!$B$6:$Q$1174,6,0)),"nu",VLOOKUP($A35,'liste reference'!$B$6:$Q$1174,6,0)),VLOOKUP($A35,'liste reference'!$A$6:$Q$1174,7,0)),"nu")</f>
        <v>1</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Myosotis scorpioides</v>
      </c>
      <c r="M35" s="498"/>
      <c r="N35" s="498"/>
      <c r="O35" s="498"/>
      <c r="P35" s="499" t="s">
        <v>3448</v>
      </c>
      <c r="Q35" s="500" t="n">
        <f aca="false">IF(OR($A35="NEWCOD",$A35="!!!!!!"),IF(X35="","NoCod",X35),IF($A35="","",IF(ISERROR(VLOOKUP($A35,'liste reference'!$A$6:$H$1174,8,0)),IF(ISERROR(VLOOKUP($A35,'liste reference'!$B$6:$H$1174,7,0)),"",VLOOKUP($A35,'liste reference'!$B$6:$H$1174,7,0)),VLOOKUP($A35,'liste reference'!$A$6:$H$1174,8,0))))</f>
        <v>1692</v>
      </c>
      <c r="R35" s="484" t="n">
        <f aca="false">IF(ISTEXT(H35),"",(B35*$B$7/100)+(C35*$C$7/100))</f>
        <v>1.896</v>
      </c>
      <c r="S35" s="485" t="n">
        <f aca="false">IF(OR(ISTEXT(H35),R35=0),"",IF(R35&lt;0.1,1,IF(R35&lt;1,2,IF(R35&lt;10,3,IF(R35&lt;50,4,IF(R35&gt;=50,5,""))))))</f>
        <v>3</v>
      </c>
      <c r="T35" s="485" t="n">
        <f aca="false">IF(ISERROR(S35*J35),0,S35*J35)</f>
        <v>36</v>
      </c>
      <c r="U35" s="485" t="n">
        <f aca="false">IF(ISERROR(S35*J35*K35),0,S35*J35*K35)</f>
        <v>36</v>
      </c>
      <c r="V35" s="501" t="n">
        <f aca="false">IF(ISERROR(S35*K35),0,S35*K35)</f>
        <v>3</v>
      </c>
      <c r="W35" s="502"/>
      <c r="X35" s="503"/>
      <c r="Y35" s="488" t="str">
        <f aca="false">IF(AND(ISNUMBER(F35),OR(A35="",A35="!!!!!!")),"!!!!!!",IF(A35="new.cod","NEWCOD",IF(AND((Z35=""),ISTEXT(A35),A35&lt;&gt;"!!!!!!"),A35,IF(Z35="","",INDEX('liste reference'!$A$6:$A$1174,Z35)))))</f>
        <v>MYOSCO</v>
      </c>
      <c r="Z35" s="470" t="n">
        <f aca="false">IF(ISERROR(MATCH(A35,'liste reference'!$A$6:$A$1174,0)),IF(ISERROR(MATCH(A35,'liste reference'!$B$6:$B$1174,0)),"",(MATCH(A35,'liste reference'!$B$6:$B$1174,0))),(MATCH(A35,'liste reference'!$A$6:$A$1174,0)))</f>
        <v>701</v>
      </c>
    </row>
    <row r="36" customFormat="false" ht="12.75" hidden="false" customHeight="false" outlineLevel="0" collapsed="false">
      <c r="A36" s="489" t="s">
        <v>2260</v>
      </c>
      <c r="B36" s="490" t="n">
        <v>5</v>
      </c>
      <c r="C36" s="491" t="n">
        <v>4</v>
      </c>
      <c r="D36" s="492" t="str">
        <f aca="false">IF(ISERROR(VLOOKUP($A36,'liste reference'!$A$6:$B$1174,2,0)),IF(ISERROR(VLOOKUP($A36,'liste reference'!$B$6:$B$1174,1,0)),"",VLOOKUP($A36,'liste reference'!$B$6:$B$1174,1,0)),VLOOKUP($A36,'liste reference'!$A$6:$B$1174,2,0))</f>
        <v>Veronica anagallis-aquatica</v>
      </c>
      <c r="E36" s="493" t="e">
        <f aca="false">IF(D36="",0,VLOOKUP(D36,D$22:D35,1,0))</f>
        <v>#N/A</v>
      </c>
      <c r="F36" s="494" t="n">
        <f aca="false">IF(AND(OR(A36="",A36="!!!!!!"),B36="",C36=""),"",IF(OR(AND(B36="",C36=""),ISERROR(C36+B36)),"!!!",($B36*$B$7+$C36*$C$7)/100))</f>
        <v>4.48</v>
      </c>
      <c r="G36" s="495" t="str">
        <f aca="false">IF(A36="","",IF(ISERROR(VLOOKUP($A36,'liste reference'!$A$6:$Q$1174,9,0)),IF(ISERROR(VLOOKUP($A36,'liste reference'!$B$6:$Q$1174,8,0)),"    -",VLOOKUP($A36,'liste reference'!$B$6:$Q$1174,8,0)),VLOOKUP($A36,'liste reference'!$A$6:$Q$1174,9,0)))</f>
        <v>PHe</v>
      </c>
      <c r="H36" s="496" t="n">
        <f aca="false">IF(A36="","x",IF(ISERROR(VLOOKUP($A36,'liste reference'!$A$6:$Q$1174,10,0)),IF(ISERROR(VLOOKUP($A36,'liste reference'!$B$6:$Q$1174,9,0)),"x",VLOOKUP($A36,'liste reference'!$B$6:$Q$1174,9,0)),VLOOKUP($A36,'liste reference'!$A$6:$Q$1174,10,0)))</f>
        <v>8</v>
      </c>
      <c r="I36" s="281" t="n">
        <f aca="false">IF(A36="","",1)</f>
        <v>1</v>
      </c>
      <c r="J36" s="497" t="n">
        <f aca="false">IF(ISNUMBER($H36),IF(ISERROR(VLOOKUP($A36,'liste reference'!$A$6:$Q$1174,6,0)),IF(ISERROR(VLOOKUP($A36,'liste reference'!$B$6:$Q$1174,5,0)),"nu",VLOOKUP($A36,'liste reference'!$B$6:$Q$1174,5,0)),VLOOKUP($A36,'liste reference'!$A$6:$Q$1174,6,0)),"nu")</f>
        <v>11</v>
      </c>
      <c r="K36" s="497" t="n">
        <f aca="false">IF(ISNUMBER($H36),IF(ISERROR(VLOOKUP($A36,'liste reference'!$A$6:$Q$1174,7,0)),IF(ISERROR(VLOOKUP($A36,'liste reference'!$B$6:$Q$1174,6,0)),"nu",VLOOKUP($A36,'liste reference'!$B$6:$Q$1174,6,0)),VLOOKUP($A36,'liste reference'!$A$6:$Q$1174,7,0)),"nu")</f>
        <v>2</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Veronica anagallis-aquatica</v>
      </c>
      <c r="M36" s="498"/>
      <c r="N36" s="498"/>
      <c r="O36" s="498"/>
      <c r="P36" s="499" t="s">
        <v>3448</v>
      </c>
      <c r="Q36" s="500" t="n">
        <f aca="false">IF(OR($A36="NEWCOD",$A36="!!!!!!"),IF(X36="","NoCod",X36),IF($A36="","",IF(ISERROR(VLOOKUP($A36,'liste reference'!$A$6:$H$1174,8,0)),IF(ISERROR(VLOOKUP($A36,'liste reference'!$B$6:$H$1174,7,0)),"",VLOOKUP($A36,'liste reference'!$B$6:$H$1174,7,0)),VLOOKUP($A36,'liste reference'!$A$6:$H$1174,8,0))))</f>
        <v>1955</v>
      </c>
      <c r="R36" s="484" t="n">
        <f aca="false">IF(ISTEXT(H36),"",(B36*$B$7/100)+(C36*$C$7/100))</f>
        <v>4.48</v>
      </c>
      <c r="S36" s="485" t="n">
        <f aca="false">IF(OR(ISTEXT(H36),R36=0),"",IF(R36&lt;0.1,1,IF(R36&lt;1,2,IF(R36&lt;10,3,IF(R36&lt;50,4,IF(R36&gt;=50,5,""))))))</f>
        <v>3</v>
      </c>
      <c r="T36" s="485" t="n">
        <f aca="false">IF(ISERROR(S36*J36),0,S36*J36)</f>
        <v>33</v>
      </c>
      <c r="U36" s="485" t="n">
        <f aca="false">IF(ISERROR(S36*J36*K36),0,S36*J36*K36)</f>
        <v>66</v>
      </c>
      <c r="V36" s="501" t="n">
        <f aca="false">IF(ISERROR(S36*K36),0,S36*K36)</f>
        <v>6</v>
      </c>
      <c r="W36" s="502"/>
      <c r="X36" s="503"/>
      <c r="Y36" s="488" t="str">
        <f aca="false">IF(AND(ISNUMBER(F36),OR(A36="",A36="!!!!!!")),"!!!!!!",IF(A36="new.cod","NEWCOD",IF(AND((Z36=""),ISTEXT(A36),A36&lt;&gt;"!!!!!!"),A36,IF(Z36="","",INDEX('liste reference'!$A$6:$A$1174,Z36)))))</f>
        <v>VERANA</v>
      </c>
      <c r="Z36" s="470" t="n">
        <f aca="false">IF(ISERROR(MATCH(A36,'liste reference'!$A$6:$A$1174,0)),IF(ISERROR(MATCH(A36,'liste reference'!$B$6:$B$1174,0)),"",(MATCH(A36,'liste reference'!$B$6:$B$1174,0))),(MATCH(A36,'liste reference'!$A$6:$A$1174,0)))</f>
        <v>740</v>
      </c>
    </row>
    <row r="37" customFormat="false" ht="12.75" hidden="false" customHeight="false" outlineLevel="0" collapsed="false">
      <c r="A37" s="489" t="s">
        <v>2970</v>
      </c>
      <c r="B37" s="490" t="n">
        <v>0.005</v>
      </c>
      <c r="C37" s="491"/>
      <c r="D37" s="492" t="str">
        <f aca="false">IF(ISERROR(VLOOKUP($A37,'liste reference'!$A$6:$B$1174,2,0)),IF(ISERROR(VLOOKUP($A37,'liste reference'!$B$6:$B$1174,1,0)),"",VLOOKUP($A37,'liste reference'!$B$6:$B$1174,1,0)),VLOOKUP($A37,'liste reference'!$A$6:$B$1174,2,0))</f>
        <v>Agrostis sp.</v>
      </c>
      <c r="E37" s="493" t="e">
        <f aca="false">IF(D37="",0,VLOOKUP(D37,D$22:D36,1,0))</f>
        <v>#N/A</v>
      </c>
      <c r="F37" s="494" t="n">
        <f aca="false">IF(AND(OR(A37="",A37="!!!!!!"),B37="",C37=""),"",IF(OR(AND(B37="",C37=""),ISERROR(C37+B37)),"!!!",($B37*$B$7+$C37*$C$7)/100))</f>
        <v>0.0024</v>
      </c>
      <c r="G37" s="495" t="str">
        <f aca="false">IF(A37="","",IF(ISERROR(VLOOKUP($A37,'liste reference'!$A$6:$Q$1174,9,0)),IF(ISERROR(VLOOKUP($A37,'liste reference'!$B$6:$Q$1174,8,0)),"    -",VLOOKUP($A37,'liste reference'!$B$6:$Q$1174,8,0)),VLOOKUP($A37,'liste reference'!$A$6:$Q$1174,9,0)))</f>
        <v>PHx</v>
      </c>
      <c r="H37" s="496" t="n">
        <f aca="false">IF(A37="","x",IF(ISERROR(VLOOKUP($A37,'liste reference'!$A$6:$Q$1174,10,0)),IF(ISERROR(VLOOKUP($A37,'liste reference'!$B$6:$Q$1174,9,0)),"x",VLOOKUP($A37,'liste reference'!$B$6:$Q$1174,9,0)),VLOOKUP($A37,'liste reference'!$A$6:$Q$1174,10,0)))</f>
        <v>10</v>
      </c>
      <c r="I37" s="281" t="n">
        <f aca="false">IF(A37="","",1)</f>
        <v>1</v>
      </c>
      <c r="J37" s="497" t="str">
        <f aca="false">IF(ISNUMBER($H37),IF(ISERROR(VLOOKUP($A37,'liste reference'!$A$6:$Q$1174,6,0)),IF(ISERROR(VLOOKUP($A37,'liste reference'!$B$6:$Q$1174,5,0)),"nu",VLOOKUP($A37,'liste reference'!$B$6:$Q$1174,5,0)),VLOOKUP($A37,'liste reference'!$A$6:$Q$1174,6,0)),"nu")</f>
        <v>nc</v>
      </c>
      <c r="K37" s="497" t="str">
        <f aca="false">IF(ISNUMBER($H37),IF(ISERROR(VLOOKUP($A37,'liste reference'!$A$6:$Q$1174,7,0)),IF(ISERROR(VLOOKUP($A37,'liste reference'!$B$6:$Q$1174,6,0)),"nu",VLOOKUP($A37,'liste reference'!$B$6:$Q$1174,6,0)),VLOOKUP($A37,'liste reference'!$A$6:$Q$1174,7,0)),"nu")</f>
        <v>nc</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Agrostis sp.</v>
      </c>
      <c r="M37" s="498"/>
      <c r="N37" s="498"/>
      <c r="O37" s="498"/>
      <c r="P37" s="499" t="s">
        <v>3449</v>
      </c>
      <c r="Q37" s="500" t="n">
        <f aca="false">IF(OR($A37="NEWCOD",$A37="!!!!!!"),IF(X37="","NoCod",X37),IF($A37="","",IF(ISERROR(VLOOKUP($A37,'liste reference'!$A$6:$H$1174,8,0)),IF(ISERROR(VLOOKUP($A37,'liste reference'!$B$6:$H$1174,7,0)),"",VLOOKUP($A37,'liste reference'!$B$6:$H$1174,7,0)),VLOOKUP($A37,'liste reference'!$A$6:$H$1174,8,0))))</f>
        <v>1542</v>
      </c>
      <c r="R37" s="484" t="n">
        <f aca="false">IF(ISTEXT(H37),"",(B37*$B$7/100)+(C37*$C$7/100))</f>
        <v>0.0024</v>
      </c>
      <c r="S37" s="485" t="n">
        <f aca="false">IF(OR(ISTEXT(H37),R37=0),"",IF(R37&lt;0.1,1,IF(R37&lt;1,2,IF(R37&lt;10,3,IF(R37&lt;50,4,IF(R37&gt;=50,5,""))))))</f>
        <v>1</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AGRSPX</v>
      </c>
      <c r="Z37" s="470" t="n">
        <f aca="false">IF(ISERROR(MATCH(A37,'liste reference'!$A$6:$A$1174,0)),IF(ISERROR(MATCH(A37,'liste reference'!$B$6:$B$1174,0)),"",(MATCH(A37,'liste reference'!$B$6:$B$1174,0))),(MATCH(A37,'liste reference'!$A$6:$A$1174,0)))</f>
        <v>1002</v>
      </c>
    </row>
    <row r="38" customFormat="false" ht="12.75" hidden="false" customHeight="false" outlineLevel="0" collapsed="false">
      <c r="A38" s="489" t="s">
        <v>3050</v>
      </c>
      <c r="B38" s="490" t="n">
        <v>0.3</v>
      </c>
      <c r="C38" s="491" t="n">
        <v>0.25</v>
      </c>
      <c r="D38" s="492" t="str">
        <f aca="false">IF(ISERROR(VLOOKUP($A38,'liste reference'!$A$6:$B$1174,2,0)),IF(ISERROR(VLOOKUP($A38,'liste reference'!$B$6:$B$1174,1,0)),"",VLOOKUP($A38,'liste reference'!$B$6:$B$1174,1,0)),VLOOKUP($A38,'liste reference'!$A$6:$B$1174,2,0))</f>
        <v>Carex sp.</v>
      </c>
      <c r="E38" s="493" t="e">
        <f aca="false">IF(D38="",0,VLOOKUP(D38,D$22:D37,1,0))</f>
        <v>#N/A</v>
      </c>
      <c r="F38" s="494" t="n">
        <f aca="false">IF(AND(OR(A38="",A38="!!!!!!"),B38="",C38=""),"",IF(OR(AND(B38="",C38=""),ISERROR(C38+B38)),"!!!",($B38*$B$7+$C38*$C$7)/100))</f>
        <v>0.274</v>
      </c>
      <c r="G38" s="495" t="str">
        <f aca="false">IF(A38="","",IF(ISERROR(VLOOKUP($A38,'liste reference'!$A$6:$Q$1174,9,0)),IF(ISERROR(VLOOKUP($A38,'liste reference'!$B$6:$Q$1174,8,0)),"    -",VLOOKUP($A38,'liste reference'!$B$6:$Q$1174,8,0)),VLOOKUP($A38,'liste reference'!$A$6:$Q$1174,9,0)))</f>
        <v>PHx</v>
      </c>
      <c r="H38" s="496" t="n">
        <f aca="false">IF(A38="","x",IF(ISERROR(VLOOKUP($A38,'liste reference'!$A$6:$Q$1174,10,0)),IF(ISERROR(VLOOKUP($A38,'liste reference'!$B$6:$Q$1174,9,0)),"x",VLOOKUP($A38,'liste reference'!$B$6:$Q$1174,9,0)),VLOOKUP($A38,'liste reference'!$A$6:$Q$1174,10,0)))</f>
        <v>10</v>
      </c>
      <c r="I38" s="281" t="n">
        <f aca="false">IF(A38="","",1)</f>
        <v>1</v>
      </c>
      <c r="J38" s="497" t="str">
        <f aca="false">IF(ISNUMBER($H38),IF(ISERROR(VLOOKUP($A38,'liste reference'!$A$6:$Q$1174,6,0)),IF(ISERROR(VLOOKUP($A38,'liste reference'!$B$6:$Q$1174,5,0)),"nu",VLOOKUP($A38,'liste reference'!$B$6:$Q$1174,5,0)),VLOOKUP($A38,'liste reference'!$A$6:$Q$1174,6,0)),"nu")</f>
        <v>nc</v>
      </c>
      <c r="K38" s="497" t="str">
        <f aca="false">IF(ISNUMBER($H38),IF(ISERROR(VLOOKUP($A38,'liste reference'!$A$6:$Q$1174,7,0)),IF(ISERROR(VLOOKUP($A38,'liste reference'!$B$6:$Q$1174,6,0)),"nu",VLOOKUP($A38,'liste reference'!$B$6:$Q$1174,6,0)),VLOOKUP($A38,'liste reference'!$A$6:$Q$1174,7,0)),"nu")</f>
        <v>nc</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Carex sp.</v>
      </c>
      <c r="M38" s="498"/>
      <c r="N38" s="498"/>
      <c r="O38" s="498"/>
      <c r="P38" s="499" t="s">
        <v>3448</v>
      </c>
      <c r="Q38" s="500" t="n">
        <f aca="false">IF(OR($A38="NEWCOD",$A38="!!!!!!"),IF(X38="","NoCod",X38),IF($A38="","",IF(ISERROR(VLOOKUP($A38,'liste reference'!$A$6:$H$1174,8,0)),IF(ISERROR(VLOOKUP($A38,'liste reference'!$B$6:$H$1174,7,0)),"",VLOOKUP($A38,'liste reference'!$B$6:$H$1174,7,0)),VLOOKUP($A38,'liste reference'!$A$6:$H$1174,8,0))))</f>
        <v>1466</v>
      </c>
      <c r="R38" s="484" t="n">
        <f aca="false">IF(ISTEXT(H38),"",(B38*$B$7/100)+(C38*$C$7/100))</f>
        <v>0.274</v>
      </c>
      <c r="S38" s="485" t="n">
        <f aca="false">IF(OR(ISTEXT(H38),R38=0),"",IF(R38&lt;0.1,1,IF(R38&lt;1,2,IF(R38&lt;10,3,IF(R38&lt;50,4,IF(R38&gt;=50,5,""))))))</f>
        <v>2</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CARSPX</v>
      </c>
      <c r="Z38" s="470" t="n">
        <f aca="false">IF(ISERROR(MATCH(A38,'liste reference'!$A$6:$A$1174,0)),IF(ISERROR(MATCH(A38,'liste reference'!$B$6:$B$1174,0)),"",(MATCH(A38,'liste reference'!$B$6:$B$1174,0))),(MATCH(A38,'liste reference'!$A$6:$A$1174,0)))</f>
        <v>1037</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12.3044</v>
      </c>
      <c r="G83" s="424"/>
      <c r="H83" s="424"/>
      <c r="I83" s="424"/>
      <c r="J83" s="424"/>
      <c r="K83" s="424"/>
      <c r="L83" s="424"/>
      <c r="M83" s="485"/>
      <c r="N83" s="485"/>
      <c r="O83" s="485"/>
      <c r="P83" s="485"/>
      <c r="Q83" s="485"/>
      <c r="R83" s="485"/>
      <c r="S83" s="485"/>
      <c r="T83" s="485"/>
      <c r="U83" s="485"/>
      <c r="V83" s="485" t="n">
        <f aca="false">SUM(V23:V82)</f>
        <v>34</v>
      </c>
      <c r="W83" s="485"/>
      <c r="X83" s="523"/>
      <c r="Y83" s="523"/>
      <c r="Z83" s="524"/>
    </row>
    <row r="84" customFormat="false" ht="12.75" hidden="true" customHeight="false" outlineLevel="0" collapsed="false">
      <c r="A84" s="518" t="str">
        <f aca="false">A3</f>
        <v>LA THEZE</v>
      </c>
      <c r="B84" s="453" t="str">
        <f aca="false">C3</f>
        <v>LA THEZE AU NIVEAU DE MONTCABRIER</v>
      </c>
      <c r="C84" s="525" t="str">
        <f aca="false">A4</f>
        <v>(Date)</v>
      </c>
      <c r="D84" s="526" t="n">
        <f aca="false">IF(OR(ISERROR(SUM($U$23:$U$82)/SUM($V$23:$V$82)),F7&lt;&gt;100),-1,SUM($U$23:$U$82)/SUM($V$23:$V$82))</f>
        <v>12.6764705882353</v>
      </c>
      <c r="E84" s="527" t="n">
        <f aca="false">O13</f>
        <v>16</v>
      </c>
      <c r="F84" s="453" t="n">
        <f aca="false">O14</f>
        <v>12</v>
      </c>
      <c r="G84" s="453" t="n">
        <f aca="false">O15</f>
        <v>4</v>
      </c>
      <c r="H84" s="453" t="n">
        <f aca="false">O16</f>
        <v>7</v>
      </c>
      <c r="I84" s="453" t="n">
        <f aca="false">O17</f>
        <v>1</v>
      </c>
      <c r="J84" s="528" t="n">
        <f aca="false">O8</f>
        <v>12.4166666666667</v>
      </c>
      <c r="K84" s="529" t="n">
        <f aca="false">O9</f>
        <v>3.14797112792068</v>
      </c>
      <c r="L84" s="530" t="n">
        <f aca="false">O10</f>
        <v>5</v>
      </c>
      <c r="M84" s="530" t="n">
        <f aca="false">O11</f>
        <v>18</v>
      </c>
      <c r="N84" s="529" t="n">
        <f aca="false">P8</f>
        <v>1.75</v>
      </c>
      <c r="O84" s="529" t="n">
        <f aca="false">P9</f>
        <v>0.595119035711904</v>
      </c>
      <c r="P84" s="530" t="n">
        <f aca="false">P10</f>
        <v>1</v>
      </c>
      <c r="Q84" s="530" t="n">
        <f aca="false">P11</f>
        <v>3</v>
      </c>
      <c r="R84" s="530" t="n">
        <f aca="false">F21</f>
        <v>12.3044</v>
      </c>
      <c r="S84" s="530" t="n">
        <f aca="false">L11</f>
        <v>0</v>
      </c>
      <c r="T84" s="530" t="n">
        <f aca="false">L12</f>
        <v>2</v>
      </c>
      <c r="U84" s="530" t="n">
        <f aca="false">L13</f>
        <v>5</v>
      </c>
      <c r="V84" s="531" t="n">
        <f aca="false">L15</f>
        <v>8</v>
      </c>
      <c r="W84" s="532" t="n">
        <f aca="false">L15</f>
        <v>8</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45</v>
      </c>
      <c r="U87" s="281"/>
      <c r="V87" s="281"/>
    </row>
    <row r="88" customFormat="false" ht="12.75" hidden="true" customHeight="false" outlineLevel="0" collapsed="false">
      <c r="C88" s="534"/>
      <c r="D88" s="534"/>
      <c r="E88" s="534"/>
      <c r="R88" s="281" t="s">
        <v>3452</v>
      </c>
      <c r="S88" s="281"/>
      <c r="T88" s="536" t="n">
        <f aca="false">VLOOKUP($T$91,($A$23:$U$82),21,0)</f>
        <v>90</v>
      </c>
      <c r="U88" s="281"/>
      <c r="V88" s="281" t="n">
        <f aca="false">COUNTIF(V23:V82,T89)</f>
        <v>2</v>
      </c>
    </row>
    <row r="89" customFormat="false" ht="12.75" hidden="true" customHeight="false" outlineLevel="0" collapsed="false">
      <c r="C89" s="534"/>
      <c r="D89" s="534"/>
      <c r="E89" s="534"/>
      <c r="R89" s="281" t="s">
        <v>3453</v>
      </c>
      <c r="S89" s="281"/>
      <c r="T89" s="536" t="n">
        <f aca="false">MAX($V$23:$V$82)</f>
        <v>6</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12.1785714285714</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CHIPOL</v>
      </c>
      <c r="U91" s="281" t="n">
        <f aca="false">IF(ISERROR(MATCH($T$93,'liste reference'!$A$6:$A$1174,0)),MATCH($T$93,'liste reference'!$B$6:$B$1174,0),(MATCH($T$93,'liste reference'!$A$6:$A$1174,0)))</f>
        <v>137</v>
      </c>
      <c r="V91" s="538"/>
    </row>
    <row r="92" customFormat="false" ht="12.75" hidden="true" customHeight="false" outlineLevel="0" collapsed="false">
      <c r="C92" s="534"/>
      <c r="D92" s="534"/>
      <c r="E92" s="534"/>
      <c r="R92" s="281" t="s">
        <v>3456</v>
      </c>
      <c r="S92" s="281"/>
      <c r="T92" s="281" t="n">
        <f aca="false">MATCH(T89,$V$23:$V$82,0)</f>
        <v>3</v>
      </c>
      <c r="U92" s="281"/>
    </row>
    <row r="93" customFormat="false" ht="12.75" hidden="true" customHeight="false" outlineLevel="0" collapsed="false">
      <c r="C93" s="534"/>
      <c r="D93" s="534"/>
      <c r="E93" s="534"/>
      <c r="R93" s="485" t="s">
        <v>3457</v>
      </c>
      <c r="S93" s="281"/>
      <c r="T93" s="485" t="str">
        <f aca="false">INDEX($A$23:$A$82,$T$92)</f>
        <v>CHIPOL</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3458</v>
      </c>
      <c r="B2" s="286"/>
      <c r="C2" s="287" t="s">
        <v>3459</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3460</v>
      </c>
      <c r="B3" s="286"/>
      <c r="C3" s="285" t="s">
        <v>3461</v>
      </c>
      <c r="D3" s="296"/>
      <c r="E3" s="296"/>
      <c r="F3" s="297"/>
      <c r="G3" s="297"/>
      <c r="H3" s="296"/>
      <c r="I3" s="281"/>
      <c r="J3" s="288"/>
      <c r="K3" s="298"/>
      <c r="L3" s="299" t="s">
        <v>3462</v>
      </c>
      <c r="M3" s="300"/>
      <c r="N3" s="301" t="s">
        <v>3463</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3464</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0</v>
      </c>
      <c r="U87" s="281"/>
      <c r="V87" s="281"/>
    </row>
    <row r="88" customFormat="false" ht="12.75" hidden="true" customHeight="false" outlineLevel="0" collapsed="false">
      <c r="C88" s="534"/>
      <c r="D88" s="534"/>
      <c r="E88" s="534"/>
      <c r="R88" s="281" t="s">
        <v>3452</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3453</v>
      </c>
      <c r="S89" s="281"/>
      <c r="T89" s="536" t="n">
        <f aca="false">MAX($V$23:$V$82)</f>
        <v>0</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3465</v>
      </c>
      <c r="B1" s="541"/>
      <c r="C1" s="541"/>
      <c r="D1" s="541"/>
      <c r="E1" s="542" t="s">
        <v>3466</v>
      </c>
      <c r="F1" s="543" t="s">
        <v>3467</v>
      </c>
      <c r="G1" s="544"/>
      <c r="H1" s="544"/>
      <c r="I1" s="545"/>
      <c r="J1" s="545"/>
      <c r="K1" s="545"/>
      <c r="L1" s="546"/>
    </row>
    <row r="2" customFormat="false" ht="15" hidden="false" customHeight="false" outlineLevel="0" collapsed="false">
      <c r="A2" s="547" t="s">
        <v>3468</v>
      </c>
      <c r="B2" s="548"/>
      <c r="C2" s="549"/>
      <c r="D2" s="549"/>
      <c r="E2" s="550"/>
      <c r="F2" s="543" t="s">
        <v>3469</v>
      </c>
      <c r="G2" s="544"/>
      <c r="H2" s="544"/>
      <c r="I2" s="545"/>
      <c r="J2" s="545"/>
      <c r="K2" s="545"/>
      <c r="L2" s="546"/>
    </row>
    <row r="3" customFormat="false" ht="15.75" hidden="false" customHeight="false" outlineLevel="0" collapsed="false">
      <c r="A3" s="547" t="s">
        <v>3470</v>
      </c>
      <c r="B3" s="548"/>
      <c r="C3" s="549"/>
      <c r="D3" s="551" t="s">
        <v>3471</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3472</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3473</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3478</v>
      </c>
      <c r="G20" s="8"/>
      <c r="H20" s="575" t="s">
        <v>3478</v>
      </c>
      <c r="I20" s="576"/>
    </row>
    <row r="21" customFormat="false" ht="15" hidden="false" customHeight="false" outlineLevel="0" collapsed="false">
      <c r="A21" s="563"/>
      <c r="B21" s="566" t="s">
        <v>2318</v>
      </c>
      <c r="C21" s="567"/>
      <c r="D21" s="568"/>
      <c r="F21" s="575" t="s">
        <v>3479</v>
      </c>
      <c r="G21" s="8"/>
      <c r="H21" s="575" t="s">
        <v>3479</v>
      </c>
      <c r="I21" s="576"/>
    </row>
    <row r="22" customFormat="false" ht="15" hidden="false" customHeight="false" outlineLevel="0" collapsed="false">
      <c r="A22" s="563"/>
      <c r="B22" s="566" t="s">
        <v>2971</v>
      </c>
      <c r="C22" s="567"/>
      <c r="D22" s="568"/>
      <c r="F22" s="575" t="s">
        <v>3480</v>
      </c>
      <c r="G22" s="8"/>
      <c r="H22" s="575" t="s">
        <v>3480</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3449</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3402</v>
      </c>
    </row>
    <row r="38" customFormat="false" ht="15" hidden="false" customHeight="false" outlineLevel="0" collapsed="false">
      <c r="A38" s="563"/>
      <c r="B38" s="566" t="s">
        <v>2981</v>
      </c>
      <c r="C38" s="567"/>
      <c r="D38" s="568"/>
      <c r="F38" s="583" t="s">
        <v>3487</v>
      </c>
    </row>
    <row r="39" customFormat="false" ht="15" hidden="false" customHeight="false" outlineLevel="0" collapsed="false">
      <c r="A39" s="563"/>
      <c r="B39" s="566" t="s">
        <v>2983</v>
      </c>
      <c r="C39" s="567"/>
      <c r="D39" s="568"/>
      <c r="F39" s="583" t="s">
        <v>3488</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Geoffroy Seveno</cp:lastModifiedBy>
  <cp:lastPrinted>2015-05-20T11:23:22Z</cp:lastPrinted>
  <dcterms:modified xsi:type="dcterms:W3CDTF">2017-02-17T15:02:45Z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