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1" sheetId="1" state="visible" r:id="rId3"/>
  </sheets>
  <externalReferences>
    <externalReference r:id="rId4"/>
  </externalReferences>
  <definedNames>
    <definedName function="false" hidden="false" localSheetId="0" name="Excel_BuiltIn_Print_Area" vbProcedure="false">'61'!$A$1:$O$36</definedName>
    <definedName function="false" hidden="false" localSheetId="0" name="Excel_BuiltIn__FilterDatabase" vbProcedure="false">'61'!$A$23:$J$84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<sst xmlns="http://schemas.openxmlformats.org/spreadsheetml/2006/main" count="105" uniqueCount="100">
  <si>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</si>
  <si>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</si>
  <si>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</si>
  <si>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</si>
  <si>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RANCE</t>
  </si>
  <si>
    <t xml:space="preserve">VITRAC</t>
  </si>
  <si>
    <t xml:space="preserve">05091560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</si>
  <si>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</si>
  <si>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</si>
  <si>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</si>
  <si>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</si>
  <si>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</si>
  <si>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</si>
  <si>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</si>
  <si>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</si>
  <si>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</si>
  <si>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</si>
  <si>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</si>
  <si>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</si>
  <si>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</si>
  <si>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</si>
  <si>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</si>
  <si>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</si>
  <si>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</si>
  <si>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</si>
  <si>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</si>
  <si>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</si>
  <si>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</si>
  <si>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</si>
  <si>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</si>
  <si>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</si>
  <si>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</si>
  <si>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</si>
  <si>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</si>
  <si>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</si>
  <si>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</si>
  <si>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</si>
  <si>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</si>
  <si>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</si>
  <si>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</si>
  <si>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</si>
  <si>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</si>
  <si>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</si>
  <si>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</si>
  <si>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</si>
  <si>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</si>
  <si>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</si>
  <si>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</si>
  <si>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</si>
  <si>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</si>
  <si>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</si>
  <si>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</si>
  <si>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</si>
  <si>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</si>
  <si>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</si>
  <si>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</si>
  <si>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</si>
  <si>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</si>
  <si>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(2,403 %)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</si>
  <si>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</si>
  <si>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</si>
  <si>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</si>
  <si>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</si>
  <si>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</si>
  <si>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</si>
  <si>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</si>
  <si>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</si>
  <si>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</si>
  <si>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</si>
  <si>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</si>
  <si>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</si>
  <si>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</si>
  <si>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</si>
  <si>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</si>
  <si>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</si>
  <si>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</si>
  <si>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</si>
  <si>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</si>
  <si>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NOSSPX</t>
  </si>
  <si>
    <t xml:space="preserve">VAUSPX</t>
  </si>
  <si>
    <t xml:space="preserve">DERWEB</t>
  </si>
  <si>
    <t xml:space="preserve">CHIPOL</t>
  </si>
  <si>
    <t xml:space="preserve">SCAUND</t>
  </si>
  <si>
    <t xml:space="preserve">AMBFLU</t>
  </si>
  <si>
    <t xml:space="preserve">BRARIV</t>
  </si>
  <si>
    <t xml:space="preserve">FISRUF</t>
  </si>
  <si>
    <t xml:space="preserve">FONSQU</t>
  </si>
  <si>
    <t xml:space="preserve">AGRSTO</t>
  </si>
  <si>
    <t xml:space="preserve">IRIPSE</t>
  </si>
  <si>
    <t xml:space="preserve">LYCEUR</t>
  </si>
  <si>
    <t xml:space="preserve">LYSVUL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</si>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</sst>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4_Mphyt_14.01_IBMR-ADOUR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41867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14.0625</v>
      </c>
      <c r="M5" s="52"/>
      <c r="N5" s="53" t="s">
        <v>15</v>
      </c>
      <c r="O5" s="54" t="n">
        <v>14.2758620689655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12.3076923076923</v>
      </c>
      <c r="O8" s="83" t="n">
        <f aca="false">IF(ISERROR(AVERAGE(J23:J82)),"      -",AVERAGE(J23:J82))</f>
        <v>1.84615384615385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4.4</v>
      </c>
      <c r="C9" s="86" t="n">
        <v>0.5</v>
      </c>
      <c r="D9" s="87"/>
      <c r="E9" s="87"/>
      <c r="F9" s="88" t="n">
        <f aca="false">($B9*$B$7+$C9*$C$7)/100</f>
        <v>2.255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3.51665521558845</v>
      </c>
      <c r="O9" s="83" t="n">
        <f aca="false">IF(ISERROR(STDEVP(J23:J82)),"      -",STDEVP(J23:J82))</f>
        <v>0.863459396947833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4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17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 t="n">
        <f aca="false">21/4.68</f>
        <v>4.48717948717949</v>
      </c>
      <c r="C12" s="118" t="n">
        <v>0</v>
      </c>
      <c r="D12" s="110"/>
      <c r="E12" s="110"/>
      <c r="F12" s="111" t="n">
        <f aca="false">($B12*$B$7+$C12*$C$7)/100</f>
        <v>2.01923076923077</v>
      </c>
      <c r="G12" s="119"/>
      <c r="H12" s="67"/>
      <c r="I12" s="120" t="s">
        <v>37</v>
      </c>
      <c r="J12" s="120"/>
      <c r="K12" s="114" t="n">
        <f aca="false">COUNTIF($G$23:$G$82,"=ALG")</f>
        <v>2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 t="n">
        <f aca="false">10/4.68</f>
        <v>2.13675213675214</v>
      </c>
      <c r="C13" s="118" t="n">
        <f aca="false">5/0.54</f>
        <v>9.25925925925926</v>
      </c>
      <c r="D13" s="110"/>
      <c r="E13" s="110"/>
      <c r="F13" s="111" t="n">
        <f aca="false">($B13*$B$7+$C13*$C$7)/100</f>
        <v>6.05413105413105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7</v>
      </c>
      <c r="L13" s="115"/>
      <c r="M13" s="126" t="s">
        <v>40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 t="n">
        <f aca="false">436/4.68</f>
        <v>93.1623931623932</v>
      </c>
      <c r="C14" s="118" t="n">
        <f aca="false">45/0.54</f>
        <v>83.3333333333333</v>
      </c>
      <c r="D14" s="110"/>
      <c r="E14" s="110"/>
      <c r="F14" s="111" t="n">
        <f aca="false">($B14*$B$7+$C14*$C$7)/100</f>
        <v>87.7564102564103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1</v>
      </c>
      <c r="L14" s="115"/>
      <c r="M14" s="130" t="s">
        <v>43</v>
      </c>
      <c r="N14" s="131" t="n">
        <f aca="false">COUNTIF($I$23:$I$82,"&gt;-1")</f>
        <v>13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 t="n">
        <f aca="false">1/4.68</f>
        <v>0.213675213675214</v>
      </c>
      <c r="C15" s="135" t="n">
        <f aca="false">4/0.54</f>
        <v>7.40740740740741</v>
      </c>
      <c r="D15" s="110"/>
      <c r="E15" s="110"/>
      <c r="F15" s="111" t="n">
        <f aca="false">($B15*$B$7+$C15*$C$7)/100</f>
        <v>4.17022792022792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4</v>
      </c>
      <c r="L15" s="115"/>
      <c r="M15" s="136" t="s">
        <v>46</v>
      </c>
      <c r="N15" s="137" t="n">
        <f aca="false">COUNTIF(J23:J82,"=1")</f>
        <v>6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 t="n">
        <v>0</v>
      </c>
      <c r="C16" s="109" t="n">
        <v>0</v>
      </c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3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 t="n">
        <f aca="false">100-B18</f>
        <v>99.7863247863248</v>
      </c>
      <c r="C17" s="118" t="n">
        <f aca="false">100-C18</f>
        <v>92.5925925925926</v>
      </c>
      <c r="D17" s="110"/>
      <c r="E17" s="110"/>
      <c r="F17" s="142"/>
      <c r="G17" s="111" t="n">
        <f aca="false">($B17*$B$7+$C17*$C$7)/100</f>
        <v>95.8297720797721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4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 t="n">
        <f aca="false">B15</f>
        <v>0.213675213675214</v>
      </c>
      <c r="C18" s="145" t="n">
        <f aca="false">C15</f>
        <v>7.40740740740741</v>
      </c>
      <c r="D18" s="110"/>
      <c r="E18" s="146" t="s">
        <v>52</v>
      </c>
      <c r="F18" s="142"/>
      <c r="G18" s="111" t="n">
        <f aca="false">($B18*$B$7+$C18*$C$7)/100</f>
        <v>4.17022792022792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4.68</v>
      </c>
      <c r="C20" s="165" t="n">
        <f aca="false">SUM(C23:C82)</f>
        <v>0.54</v>
      </c>
      <c r="D20" s="166"/>
      <c r="E20" s="167" t="s">
        <v>52</v>
      </c>
      <c r="F20" s="168" t="n">
        <f aca="false">($B20*$B$7+$C20*$C$7)/100</f>
        <v>2.403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2.106</v>
      </c>
      <c r="C21" s="178" t="n">
        <f aca="false">C20*C7/100</f>
        <v>0.297</v>
      </c>
      <c r="D21" s="110" t="str">
        <f aca="false">IF(F21=0,"",IF((ABS(F21-F19))&gt;(0.2*F21),CONCATENATE(" rec. par taxa (",F21," %) supérieur à 20 % !"),""))</f>
        <v> rec. par taxa (2,403 %)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2.403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0.2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Nostoc sp.</v>
      </c>
      <c r="E23" s="205" t="e">
        <f aca="false">IF(D23="",0,VLOOKUP(D23,D$22:D22,1,0))</f>
        <v>#N/A</v>
      </c>
      <c r="F23" s="206" t="n">
        <f aca="false">($B23*$B$7+$C23*$C$7)/100</f>
        <v>0.09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9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1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Nostoc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1105</v>
      </c>
      <c r="Q23" s="214" t="n">
        <f aca="false">IF(ISTEXT(H23),"",(B23*$B$7/100)+(C23*$C$7/100))</f>
        <v>0.09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9</v>
      </c>
      <c r="T23" s="215" t="n">
        <f aca="false">IF(ISERROR(R23*I23*J23),0,R23*I23*J23)</f>
        <v>9</v>
      </c>
      <c r="U23" s="215" t="n">
        <f aca="false">IF(ISERROR(R23*J23),0,R23*J23)</f>
        <v>1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NOSSPX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54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0.01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Vaucheria sp.</v>
      </c>
      <c r="E24" s="223" t="e">
        <f aca="false">IF(D24="",0,VLOOKUP(D24,D$22:D23,1,0))</f>
        <v>#N/A</v>
      </c>
      <c r="F24" s="224" t="n">
        <f aca="false">($B24*$B$7+$C24*$C$7)/100</f>
        <v>0.0045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4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1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Vaucheria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6193</v>
      </c>
      <c r="Q24" s="214" t="n">
        <f aca="false">IF(ISTEXT(H24),"",(B24*$B$7/100)+(C24*$C$7/100))</f>
        <v>0.0045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4</v>
      </c>
      <c r="T24" s="215" t="n">
        <f aca="false">IF(ISERROR(R24*I24*J24),0,R24*I24*J24)</f>
        <v>4</v>
      </c>
      <c r="U24" s="226" t="n">
        <f aca="false">IF(ISERROR(R24*J24),0,R24*J24)</f>
        <v>1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VAUSPX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82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0.1</v>
      </c>
      <c r="C25" s="222" t="n">
        <v>0.05</v>
      </c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Dermatocarpon weberi</v>
      </c>
      <c r="E25" s="223" t="e">
        <f aca="false">IF(D25="",0,VLOOKUP(D25,D$22:D24,1,0))</f>
        <v>#N/A</v>
      </c>
      <c r="F25" s="224" t="n">
        <f aca="false">($B25*$B$7+$C25*$C$7)/100</f>
        <v>0.0725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LIC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3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16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3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Dermatocarpon weberi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10217</v>
      </c>
      <c r="Q25" s="214" t="n">
        <f aca="false">IF(ISTEXT(H25),"",(B25*$B$7/100)+(C25*$C$7/100))</f>
        <v>0.0725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16</v>
      </c>
      <c r="T25" s="215" t="n">
        <f aca="false">IF(ISERROR(R25*I25*J25),0,R25*I25*J25)</f>
        <v>48</v>
      </c>
      <c r="U25" s="226" t="n">
        <f aca="false">IF(ISERROR(R25*J25),0,R25*J25)</f>
        <v>3</v>
      </c>
      <c r="V25" s="216" t="str">
        <f aca="false">IF(AND(A25="",F25=0),"",IF(F25=0,"Il manque le(s) % de rec. !",""))</f>
        <v/>
      </c>
      <c r="W25" s="227"/>
      <c r="Y25" s="215" t="str">
        <f aca="false">IF(A25="new.cod","NEWCOD",IF(AND((Z25=""),ISTEXT(A25)),A25,IF(Z25="","",INDEX('[1]liste reference'!$A$8:$A$904,Z25))))</f>
        <v>DERWEB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88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0.05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Chiloscyphus polyanthos</v>
      </c>
      <c r="E26" s="223" t="e">
        <f aca="false">IF(D26="",0,VLOOKUP(D26,D$22:D25,1,0))</f>
        <v>#N/A</v>
      </c>
      <c r="F26" s="224" t="n">
        <f aca="false">($B26*$B$7+$C26*$C$7)/100</f>
        <v>0.0225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BRh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4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15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2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Chiloscyphus polyanthos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1186</v>
      </c>
      <c r="Q26" s="214" t="n">
        <f aca="false">IF(ISTEXT(H26),"",(B26*$B$7/100)+(C26*$C$7/100))</f>
        <v>0.0225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15</v>
      </c>
      <c r="T26" s="215" t="n">
        <f aca="false">IF(ISERROR(R26*I26*J26),0,R26*I26*J26)</f>
        <v>30</v>
      </c>
      <c r="U26" s="226" t="n">
        <f aca="false">IF(ISERROR(R26*J26),0,R26*J26)</f>
        <v>2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CHIPOL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97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0.7</v>
      </c>
      <c r="C27" s="222" t="n">
        <v>0.15</v>
      </c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Scapania undulata</v>
      </c>
      <c r="E27" s="223" t="e">
        <f aca="false">IF(D27="",0,VLOOKUP(D27,D$22:D26,1,0))</f>
        <v>#N/A</v>
      </c>
      <c r="F27" s="224" t="n">
        <f aca="false">($B27*$B$7+$C27*$C$7)/100</f>
        <v>0.3975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BRh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4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17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3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Scapania undulata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1213</v>
      </c>
      <c r="Q27" s="214" t="n">
        <f aca="false">IF(ISTEXT(H27),"",(B27*$B$7/100)+(C27*$C$7/100))</f>
        <v>0.3975</v>
      </c>
      <c r="R27" s="215" t="n">
        <f aca="false">IF(OR(ISTEXT(H27),Q27=0),"",IF(Q27&lt;0.1,1,IF(Q27&lt;1,2,IF(Q27&lt;10,3,IF(Q27&lt;50,4,IF(Q27&gt;=50,5,""))))))</f>
        <v>2</v>
      </c>
      <c r="S27" s="215" t="n">
        <f aca="false">IF(ISERROR(R27*I27),0,R27*I27)</f>
        <v>34</v>
      </c>
      <c r="T27" s="215" t="n">
        <f aca="false">IF(ISERROR(R27*I27*J27),0,R27*I27*J27)</f>
        <v>102</v>
      </c>
      <c r="U27" s="226" t="n">
        <f aca="false">IF(ISERROR(R27*J27),0,R27*J27)</f>
        <v>6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SCAUND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144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0.05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Amblystegium fluviatile</v>
      </c>
      <c r="E28" s="223" t="e">
        <f aca="false">IF(D28="",0,VLOOKUP(D28,D$22:D27,1,0))</f>
        <v>#N/A</v>
      </c>
      <c r="F28" s="224" t="n">
        <f aca="false">($B28*$B$7+$C28*$C$7)/100</f>
        <v>0.0225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BRm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5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11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2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Amblystegium fluviatile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1223</v>
      </c>
      <c r="Q28" s="214" t="n">
        <f aca="false">IF(ISTEXT(H28),"",(B28*$B$7/100)+(C28*$C$7/100))</f>
        <v>0.0225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11</v>
      </c>
      <c r="T28" s="215" t="n">
        <f aca="false">IF(ISERROR(R28*I28*J28),0,R28*I28*J28)</f>
        <v>22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AMBFLU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147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0.05</v>
      </c>
      <c r="C29" s="222"/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Brachythecium rivulare</v>
      </c>
      <c r="E29" s="223" t="e">
        <f aca="false">IF(D29="",0,VLOOKUP(D29,D$22:D28,1,0))</f>
        <v>#N/A</v>
      </c>
      <c r="F29" s="224" t="n">
        <f aca="false">($B29*$B$7+$C29*$C$7)/100</f>
        <v>0.0225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BRm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5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15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2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Brachythecium rivulare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1260</v>
      </c>
      <c r="Q29" s="214" t="n">
        <f aca="false">IF(ISTEXT(H29),"",(B29*$B$7/100)+(C29*$C$7/100))</f>
        <v>0.0225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15</v>
      </c>
      <c r="T29" s="215" t="n">
        <f aca="false">IF(ISERROR(R29*I29*J29),0,R29*I29*J29)</f>
        <v>30</v>
      </c>
      <c r="U29" s="226" t="n">
        <f aca="false">IF(ISERROR(R29*J29),0,R29*J29)</f>
        <v>2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IF(A29="new.cod","NEWCOD",IF(AND((Z29=""),ISTEXT(A29)),A29,IF(Z29="","",INDEX('[1]liste reference'!$A$8:$A$904,Z29))))</f>
        <v>BRARIV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155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0.01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Fissidens rufulus</v>
      </c>
      <c r="E30" s="223" t="e">
        <f aca="false">IF(D30="",0,VLOOKUP(D30,D$22:D29,1,0))</f>
        <v>#N/A</v>
      </c>
      <c r="F30" s="224" t="n">
        <f aca="false">($B30*$B$7+$C30*$C$7)/100</f>
        <v>0.0045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BRm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5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14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3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Fissidens rufulus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19670</v>
      </c>
      <c r="Q30" s="214" t="n">
        <f aca="false">IF(ISTEXT(H30),"",(B30*$B$7/100)+(C30*$C$7/100))</f>
        <v>0.0045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14</v>
      </c>
      <c r="T30" s="215" t="n">
        <f aca="false">IF(ISERROR(R30*I30*J30),0,R30*I30*J30)</f>
        <v>42</v>
      </c>
      <c r="U30" s="226" t="n">
        <f aca="false">IF(ISERROR(R30*J30),0,R30*J30)</f>
        <v>3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FISRUF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206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0.5</v>
      </c>
      <c r="C31" s="222" t="n">
        <v>0.3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Fontinalis squamosa</v>
      </c>
      <c r="E31" s="223" t="e">
        <f aca="false">IF(D31="",0,VLOOKUP(D31,D$22:D30,1,0))</f>
        <v>#N/A</v>
      </c>
      <c r="F31" s="224" t="n">
        <f aca="false">($B31*$B$7+$C31*$C$7)/100</f>
        <v>0.39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BRm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5</v>
      </c>
      <c r="I31" s="209" t="n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>16</v>
      </c>
      <c r="J31" s="209" t="n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>3</v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Fontinalis squamosa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1312</v>
      </c>
      <c r="Q31" s="214" t="n">
        <f aca="false">IF(ISTEXT(H31),"",(B31*$B$7/100)+(C31*$C$7/100))</f>
        <v>0.39</v>
      </c>
      <c r="R31" s="215" t="n">
        <f aca="false">IF(OR(ISTEXT(H31),Q31=0),"",IF(Q31&lt;0.1,1,IF(Q31&lt;1,2,IF(Q31&lt;10,3,IF(Q31&lt;50,4,IF(Q31&gt;=50,5,""))))))</f>
        <v>2</v>
      </c>
      <c r="S31" s="215" t="n">
        <f aca="false">IF(ISERROR(R31*I31),0,R31*I31)</f>
        <v>32</v>
      </c>
      <c r="T31" s="215" t="n">
        <f aca="false">IF(ISERROR(R31*I31*J31),0,R31*I31*J31)</f>
        <v>96</v>
      </c>
      <c r="U31" s="226" t="n">
        <f aca="false">IF(ISERROR(R31*J31),0,R31*J31)</f>
        <v>6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FONSQU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214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15</v>
      </c>
      <c r="B32" s="221" t="n">
        <v>3</v>
      </c>
      <c r="C32" s="222"/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Rhynchostegium riparioides</v>
      </c>
      <c r="E32" s="223" t="e">
        <f aca="false">IF(D32="",0,VLOOKUP(D32,D$22:D31,1,0))</f>
        <v>#N/A</v>
      </c>
      <c r="F32" s="224" t="n">
        <f aca="false">($B32*$B$7+$C32*$C$7)/100</f>
        <v>1.35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BRm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5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12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1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Rhynchostegium riparioides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1268</v>
      </c>
      <c r="Q32" s="214" t="n">
        <f aca="false">IF(ISTEXT(H32),"",(B32*$B$7/100)+(C32*$C$7/100))</f>
        <v>1.35</v>
      </c>
      <c r="R32" s="215" t="n">
        <f aca="false">IF(OR(ISTEXT(H32),Q32=0),"",IF(Q32&lt;0.1,1,IF(Q32&lt;1,2,IF(Q32&lt;10,3,IF(Q32&lt;50,4,IF(Q32&gt;=50,5,""))))))</f>
        <v>3</v>
      </c>
      <c r="S32" s="215" t="n">
        <f aca="false">IF(ISERROR(R32*I32),0,R32*I32)</f>
        <v>36</v>
      </c>
      <c r="T32" s="215" t="n">
        <f aca="false">IF(ISERROR(R32*I32*J32),0,R32*I32*J32)</f>
        <v>36</v>
      </c>
      <c r="U32" s="226" t="n">
        <f aca="false">IF(ISERROR(R32*J32),0,R32*J32)</f>
        <v>3</v>
      </c>
      <c r="V32" s="216" t="str">
        <f aca="false">IF(AND(A32="",F32=0),"",IF(F32=0,"Il manque le(s) % de rec. !",""))</f>
        <v/>
      </c>
      <c r="W32" s="217"/>
      <c r="X32" s="217"/>
      <c r="Y32" s="215" t="str">
        <f aca="false">IF(A32="new.cod","NEWCOD",IF(AND((Z32=""),ISTEXT(A32)),A32,IF(Z32="","",INDEX('[1]liste reference'!$A$8:$A$904,Z32))))</f>
        <v>RHYRIP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252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87</v>
      </c>
      <c r="B33" s="221" t="n">
        <v>0.01</v>
      </c>
      <c r="C33" s="222" t="n">
        <v>0.01</v>
      </c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Agrostis stolonifera</v>
      </c>
      <c r="E33" s="223" t="e">
        <f aca="false">IF(D33="",0,VLOOKUP(D33,D$22:D32,1,0))</f>
        <v>#N/A</v>
      </c>
      <c r="F33" s="224" t="n">
        <f aca="false">($B33*$B$7+$C33*$C$7)/100</f>
        <v>0.01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10</v>
      </c>
      <c r="J33" s="209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1</v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Agrostis stolonifera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1543</v>
      </c>
      <c r="Q33" s="214" t="n">
        <f aca="false">IF(ISTEXT(H33),"",(B33*$B$7/100)+(C33*$C$7/100))</f>
        <v>0.01</v>
      </c>
      <c r="R33" s="215" t="n">
        <f aca="false">IF(OR(ISTEXT(H33),Q33=0),"",IF(Q33&lt;0.1,1,IF(Q33&lt;1,2,IF(Q33&lt;10,3,IF(Q33&lt;50,4,IF(Q33&gt;=50,5,""))))))</f>
        <v>1</v>
      </c>
      <c r="S33" s="215" t="n">
        <f aca="false">IF(ISERROR(R33*I33),0,R33*I33)</f>
        <v>10</v>
      </c>
      <c r="T33" s="215" t="n">
        <f aca="false">IF(ISERROR(R33*I33*J33),0,R33*I33*J33)</f>
        <v>10</v>
      </c>
      <c r="U33" s="226" t="n">
        <f aca="false">IF(ISERROR(R33*J33),0,R33*J33)</f>
        <v>1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AGRSTO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514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88</v>
      </c>
      <c r="B34" s="221"/>
      <c r="C34" s="222" t="n">
        <v>0.01</v>
      </c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Iris pseudacorus</v>
      </c>
      <c r="E34" s="223" t="e">
        <f aca="false">IF(D34="",0,VLOOKUP(D34,D$22:D33,1,0))</f>
        <v>#N/A</v>
      </c>
      <c r="F34" s="228" t="n">
        <f aca="false">($B34*$B$7+$C34*$C$7)/100</f>
        <v>0.0055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8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9" t="n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>10</v>
      </c>
      <c r="J34" s="209" t="n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>1</v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Iris pseudacorus</v>
      </c>
      <c r="L34" s="225"/>
      <c r="M34" s="225"/>
      <c r="N34" s="225"/>
      <c r="O34" s="212"/>
      <c r="P34" s="213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1601</v>
      </c>
      <c r="Q34" s="214" t="n">
        <f aca="false">IF(ISTEXT(H34),"",(B34*$B$7/100)+(C34*$C$7/100))</f>
        <v>0.0055</v>
      </c>
      <c r="R34" s="215" t="n">
        <f aca="false">IF(OR(ISTEXT(H34),Q34=0),"",IF(Q34&lt;0.1,1,IF(Q34&lt;1,2,IF(Q34&lt;10,3,IF(Q34&lt;50,4,IF(Q34&gt;=50,5,""))))))</f>
        <v>1</v>
      </c>
      <c r="S34" s="215" t="n">
        <f aca="false">IF(ISERROR(R34*I34),0,R34*I34)</f>
        <v>10</v>
      </c>
      <c r="T34" s="215" t="n">
        <f aca="false">IF(ISERROR(R34*I34*J34),0,R34*I34*J34)</f>
        <v>10</v>
      </c>
      <c r="U34" s="226" t="n">
        <f aca="false">IF(ISERROR(R34*J34),0,R34*J34)</f>
        <v>1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>IRIPSE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582</v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89</v>
      </c>
      <c r="B35" s="221"/>
      <c r="C35" s="222" t="n">
        <v>0.01</v>
      </c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Lycopus europaeus</v>
      </c>
      <c r="E35" s="223" t="e">
        <f aca="false">IF(D35="",0,VLOOKUP(D35,D$22:D34,1,0))</f>
        <v>#N/A</v>
      </c>
      <c r="F35" s="228" t="n">
        <f aca="false">($B35*$B$7+$C35*$C$7)/100</f>
        <v>0.0055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PHe</v>
      </c>
      <c r="H35" s="208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8</v>
      </c>
      <c r="I35" s="209" t="n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>11</v>
      </c>
      <c r="J35" s="209" t="n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>1</v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Lycopus europaeus</v>
      </c>
      <c r="L35" s="225"/>
      <c r="M35" s="225"/>
      <c r="N35" s="225"/>
      <c r="O35" s="212"/>
      <c r="P35" s="213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1789</v>
      </c>
      <c r="Q35" s="214" t="n">
        <f aca="false">IF(ISTEXT(H35),"",(B35*$B$7/100)+(C35*$C$7/100))</f>
        <v>0.0055</v>
      </c>
      <c r="R35" s="215" t="n">
        <f aca="false">IF(OR(ISTEXT(H35),Q35=0),"",IF(Q35&lt;0.1,1,IF(Q35&lt;1,2,IF(Q35&lt;10,3,IF(Q35&lt;50,4,IF(Q35&gt;=50,5,""))))))</f>
        <v>1</v>
      </c>
      <c r="S35" s="215" t="n">
        <f aca="false">IF(ISERROR(R35*I35),0,R35*I35)</f>
        <v>11</v>
      </c>
      <c r="T35" s="215" t="n">
        <f aca="false">IF(ISERROR(R35*I35*J35),0,R35*I35*J35)</f>
        <v>11</v>
      </c>
      <c r="U35" s="226" t="n">
        <f aca="false">IF(ISERROR(R35*J35),0,R35*J35)</f>
        <v>1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>LYCEUR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596</v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90</v>
      </c>
      <c r="B36" s="221"/>
      <c r="C36" s="222" t="n">
        <v>0.01</v>
      </c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>Lysimachia vulgaris</v>
      </c>
      <c r="E36" s="223" t="e">
        <f aca="false">IF(D36="",0,VLOOKUP(D36,D$22:D35,1,0))</f>
        <v>#N/A</v>
      </c>
      <c r="F36" s="228" t="n">
        <f aca="false">($B36*$B$7+$C36*$C$7)/100</f>
        <v>0.0055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>PHe</v>
      </c>
      <c r="H36" s="208" t="n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8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>Lysimachia vulgaris</v>
      </c>
      <c r="L36" s="225"/>
      <c r="M36" s="225"/>
      <c r="N36" s="225"/>
      <c r="O36" s="212"/>
      <c r="P36" s="213" t="n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>1887</v>
      </c>
      <c r="Q36" s="214" t="n">
        <f aca="false">IF(ISTEXT(H36),"",(B36*$B$7/100)+(C36*$C$7/100))</f>
        <v>0.0055</v>
      </c>
      <c r="R36" s="215" t="n">
        <f aca="false">IF(OR(ISTEXT(H36),Q36=0),"",IF(Q36&lt;0.1,1,IF(Q36&lt;1,2,IF(Q36&lt;10,3,IF(Q36&lt;50,4,IF(Q36&gt;=50,5,""))))))</f>
        <v>1</v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>LYSVUL</v>
      </c>
      <c r="Z36" s="9" t="n">
        <f aca="false">IF(ISERROR(MATCH(A36,'[1]liste reference'!$A$8:$A$904,0)),IF(ISERROR(MATCH(A36,'[1]liste reference'!$B$8:$B$904,0)),"",(MATCH(A36,'[1]liste reference'!$B$8:$B$904,0))),(MATCH(A36,'[1]liste reference'!$A$8:$A$904,0)))</f>
        <v>601</v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IF(D45="",0,VLOOKUP(D45,D$22:D38,1,0))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IF(D46="",0,VLOOKUP(D46,D$22:D38,1,0))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IF(D48="",0,VLOOKUP(D48,D$22:D47,1,0))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IF(D56="",0,VLOOKUP(D56,D$21:D55,1,0))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X56" s="229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IF(D57="",0,VLOOKUP(D57,D$22:D56,1,0))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30"/>
      <c r="M58" s="230"/>
      <c r="N58" s="230"/>
      <c r="O58" s="212"/>
      <c r="P58" s="231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25"/>
      <c r="M60" s="225"/>
      <c r="N60" s="225"/>
      <c r="O60" s="212"/>
      <c r="P60" s="213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X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RANCE</v>
      </c>
      <c r="B84" s="256" t="str">
        <f aca="false">C3</f>
        <v>VITRAC</v>
      </c>
      <c r="C84" s="257" t="n">
        <f aca="false">A4</f>
        <v>41867</v>
      </c>
      <c r="D84" s="258" t="n">
        <f aca="false">IF(ISERROR(SUM($T$23:$T$82)/SUM($U$23:$U$82)),"",SUM($T$23:$T$82)/SUM($U$23:$U$82))</f>
        <v>14.0625</v>
      </c>
      <c r="E84" s="259" t="n">
        <f aca="false">N13</f>
        <v>14</v>
      </c>
      <c r="F84" s="256" t="n">
        <f aca="false">N14</f>
        <v>13</v>
      </c>
      <c r="G84" s="256" t="n">
        <f aca="false">N15</f>
        <v>6</v>
      </c>
      <c r="H84" s="256" t="n">
        <f aca="false">N16</f>
        <v>3</v>
      </c>
      <c r="I84" s="256" t="n">
        <f aca="false">N17</f>
        <v>4</v>
      </c>
      <c r="J84" s="260" t="n">
        <f aca="false">N8</f>
        <v>12.3076923076923</v>
      </c>
      <c r="K84" s="258" t="n">
        <f aca="false">N9</f>
        <v>3.51665521558845</v>
      </c>
      <c r="L84" s="259" t="n">
        <f aca="false">N10</f>
        <v>4</v>
      </c>
      <c r="M84" s="259" t="n">
        <f aca="false">N11</f>
        <v>17</v>
      </c>
      <c r="N84" s="258" t="n">
        <f aca="false">O8</f>
        <v>1.84615384615385</v>
      </c>
      <c r="O84" s="258" t="n">
        <f aca="false">O9</f>
        <v>0.863459396947833</v>
      </c>
      <c r="P84" s="259" t="n">
        <f aca="false">O10</f>
        <v>1</v>
      </c>
      <c r="Q84" s="259" t="n">
        <f aca="false">O11</f>
        <v>3</v>
      </c>
      <c r="R84" s="259" t="n">
        <f aca="false">F21</f>
        <v>2.403</v>
      </c>
      <c r="S84" s="259" t="n">
        <f aca="false">K11</f>
        <v>0</v>
      </c>
      <c r="T84" s="259" t="n">
        <f aca="false">K12</f>
        <v>2</v>
      </c>
      <c r="U84" s="259" t="n">
        <f aca="false">K13</f>
        <v>7</v>
      </c>
      <c r="V84" s="261" t="n">
        <f aca="false">K14</f>
        <v>1</v>
      </c>
      <c r="W84" s="262" t="n">
        <f aca="false">K15</f>
        <v>4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36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36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3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n">
        <f aca="false">IF(ISERROR(SUM($T$23:$T$82)/SUM($U$23:$U$82)),"",(SUM($T$23:$T$82)-S88)/(SUM($U$23:$U$82)-S89))</f>
        <v>14.2758620689655</v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str">
        <f aca="false">INDEX('[1]liste reference'!$A$8:$A$904,$T$91)</f>
        <v>RHYRIP</v>
      </c>
      <c r="T91" s="9" t="n">
        <f aca="false">IF(ISERROR(MATCH($S$93,'[1]liste reference'!$A$8:$A$904,0)),MATCH($S$93,'[1]liste reference'!$B$8:$B$904,0),(MATCH($S$93,'[1]liste reference'!$A$8:$A$904,0)))</f>
        <v>252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10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RHYRIP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2024-04-16T07:05:29Z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