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
  </bookViews>
  <sheets>
    <sheet name="accueil" sheetId="1" state="visible" r:id="rId3"/>
    <sheet name="liste reference" sheetId="2" state="visible" r:id="rId4"/>
    <sheet name="Récap." sheetId="3" state="visible" r:id="rId5"/>
    <sheet name="notice" sheetId="4" state="hidden" r:id="rId6"/>
    <sheet name="note V4" sheetId="5" state="hidden" r:id="rId7"/>
    <sheet name="05096400" sheetId="6" state="visible" r:id="rId8"/>
    <sheet name="jgjg" sheetId="7" state="hidden" r:id="rId9"/>
    <sheet name="liste codes réf" sheetId="8" state="hidden" r:id="rId10"/>
  </sheets>
  <definedNames>
    <definedName function="false" hidden="false" localSheetId="5" name="_xlnm.Print_Area" vbProcedure="false">'05096400'!$A$1:$Q$82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<sst xmlns="http://schemas.openxmlformats.org/spreadsheetml/2006/main" count="8840" uniqueCount="3498">
  <si>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</si>
  <si>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</si>
  <si>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</si>
  <si>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</si>
  <si>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</si>
  <si>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</si>
  <si>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</si>
  <si>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</si>
  <si>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</si>
  <si>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</si>
  <si>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</si>
  <si>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</si>
  <si>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</si>
  <si>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</si>
  <si>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</si>
  <si>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</si>
  <si>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</si>
  <si>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</si>
  <si>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</si>
  <si>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</si>
  <si>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</si>
  <si>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</si>
  <si>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</si>
  <si>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</si>
  <si>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</si>
  <si>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</si>
  <si>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</si>
  <si>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</si>
  <si>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</si>
  <si>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</si>
  <si>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</si>
  <si>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</si>
  <si>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</si>
  <si>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</si>
  <si>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</si>
  <si>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</si>
  <si>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</si>
  <si>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</si>
  <si>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</si>
  <si>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</si>
  <si>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</si>
  <si>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</si>
  <si>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</si>
  <si>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</si>
  <si>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</si>
  <si>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</si>
  <si>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</si>
  <si>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</si>
  <si>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</si>
  <si>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</si>
  <si>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</si>
  <si>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</si>
  <si>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</si>
  <si>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</si>
  <si>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</si>
  <si>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</si>
  <si>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</si>
  <si>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</si>
  <si>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</si>
  <si>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</si>
  <si>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</si>
  <si>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</si>
  <si>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</si>
  <si>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</si>
  <si>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</si>
  <si>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</si>
  <si>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</si>
  <si>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</si>
  <si>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</si>
  <si>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</si>
  <si>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</si>
  <si>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</si>
  <si>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</si>
  <si>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</si>
  <si>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</si>
  <si>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</si>
  <si>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</si>
  <si>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</si>
  <si>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</si>
  <si>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</si>
  <si>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</si>
  <si>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</si>
  <si>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</si>
  <si>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</si>
  <si>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</si>
  <si>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</si>
  <si>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</si>
  <si>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</si>
  <si>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</si>
  <si>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</si>
  <si>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</si>
  <si>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</si>
  <si>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</si>
  <si>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</si>
  <si>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</si>
  <si>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</si>
  <si>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</si>
  <si>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</si>
  <si>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</si>
  <si>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</si>
  <si>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</si>
  <si>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</si>
  <si>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</si>
  <si>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</si>
  <si>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</si>
  <si>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</si>
  <si>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</si>
  <si>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</si>
  <si>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</si>
  <si>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</si>
  <si>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</si>
  <si>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</si>
  <si>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</si>
  <si>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</si>
  <si>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</si>
  <si>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</si>
  <si>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</si>
  <si>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</si>
  <si>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</si>
  <si>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</si>
  <si>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</si>
  <si>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</si>
  <si>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</si>
  <si>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</si>
  <si>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</si>
  <si>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</si>
  <si>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</si>
  <si>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</si>
  <si>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</si>
  <si>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</si>
  <si>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</si>
  <si>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</si>
  <si>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</si>
  <si>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</si>
  <si>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</si>
  <si>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</si>
  <si>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</si>
  <si>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</si>
  <si>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</si>
  <si>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</si>
  <si>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</si>
  <si>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</si>
  <si>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</si>
  <si>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</si>
  <si>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</si>
  <si>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</si>
  <si>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</si>
  <si>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</si>
  <si>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</si>
  <si>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</si>
  <si>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</si>
  <si>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</si>
  <si>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</si>
  <si>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</si>
  <si>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</si>
  <si>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</si>
  <si>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</si>
  <si>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</si>
  <si>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</si>
  <si>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</si>
  <si>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</si>
  <si>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</si>
  <si>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</si>
  <si>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</si>
  <si>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</si>
  <si>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</si>
  <si>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</si>
  <si>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</si>
  <si>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</si>
  <si>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</si>
  <si>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</si>
  <si>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</si>
  <si>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</si>
  <si>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</si>
  <si>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</si>
  <si>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</si>
  <si>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</si>
  <si>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</si>
  <si>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</si>
  <si>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</si>
  <si>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</si>
  <si>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</si>
  <si>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</si>
  <si>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</si>
  <si>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</si>
  <si>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</si>
  <si>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</si>
  <si>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</si>
  <si>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</si>
  <si>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</si>
  <si>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</si>
  <si>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</si>
  <si>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</si>
  <si>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</si>
  <si>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</si>
  <si>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</si>
  <si>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</si>
  <si>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</si>
  <si>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</si>
  <si>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</si>
  <si>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</si>
  <si>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</si>
  <si>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</si>
  <si>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</si>
  <si>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</si>
  <si>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</si>
  <si>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</si>
  <si>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</si>
  <si>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</si>
  <si>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</si>
  <si>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</si>
  <si>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</si>
  <si>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</si>
  <si>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</si>
  <si>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</si>
  <si>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</si>
  <si>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</si>
  <si>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</si>
  <si>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</si>
  <si>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</si>
  <si>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</si>
  <si>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</si>
  <si>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</si>
  <si>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</si>
  <si>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</si>
  <si>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</si>
  <si>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</si>
  <si>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</si>
  <si>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</si>
  <si>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</si>
  <si>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</si>
  <si>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</si>
  <si>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</si>
  <si>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</si>
  <si>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</si>
  <si>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</si>
  <si>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</si>
  <si>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</si>
  <si>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</si>
  <si>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</si>
  <si>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</si>
  <si>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</si>
  <si>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</si>
  <si>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</si>
  <si>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</si>
  <si>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</si>
  <si>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</si>
  <si>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</si>
  <si>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</si>
  <si>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</si>
  <si>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</si>
  <si>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</si>
  <si>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</si>
  <si>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</si>
  <si>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</si>
  <si>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</si>
  <si>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</si>
  <si>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</si>
  <si>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</si>
  <si>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</si>
  <si>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</si>
  <si>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</si>
  <si>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</si>
  <si>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</si>
  <si>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</si>
  <si>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</si>
  <si>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</si>
  <si>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</si>
  <si>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</si>
  <si>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</si>
  <si>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</si>
  <si>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</si>
  <si>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</si>
  <si>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</si>
  <si>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</si>
  <si>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</si>
  <si>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</si>
  <si>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</si>
  <si>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</si>
  <si>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</si>
  <si>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</si>
  <si>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</si>
  <si>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</si>
  <si>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</si>
  <si>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</si>
  <si>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</si>
  <si>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</si>
  <si>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</si>
  <si>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</si>
  <si>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</si>
  <si>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</si>
  <si>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</si>
  <si>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</si>
  <si>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</si>
  <si>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</si>
  <si>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</si>
  <si>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</si>
  <si>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</si>
  <si>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</si>
  <si>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</si>
  <si>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</si>
  <si>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</si>
  <si>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</si>
  <si>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</si>
  <si>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</si>
  <si>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</si>
  <si>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</si>
  <si>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</si>
  <si>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</si>
  <si>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</si>
  <si>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</si>
  <si>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</si>
  <si>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</si>
  <si>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</si>
  <si>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</si>
  <si>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</si>
  <si>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</si>
  <si>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</si>
  <si>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</si>
  <si>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</si>
  <si>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</si>
  <si>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</si>
  <si>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</si>
  <si>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</si>
  <si>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</si>
  <si>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</si>
  <si>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</si>
  <si>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</si>
  <si>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</si>
  <si>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</si>
  <si>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</si>
  <si>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</si>
  <si>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</si>
  <si>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</si>
  <si>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</si>
  <si>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</si>
  <si>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</si>
  <si>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</si>
  <si>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</si>
  <si>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</si>
  <si>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</si>
  <si>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</si>
  <si>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</si>
  <si>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</si>
  <si>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</si>
  <si>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</si>
  <si>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</si>
  <si>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</si>
  <si>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</si>
  <si>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</si>
  <si>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</si>
  <si>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</si>
  <si>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</si>
  <si>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</si>
  <si>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</si>
  <si>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</si>
  <si>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</si>
  <si>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</si>
  <si>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</si>
  <si>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</si>
  <si>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</si>
  <si>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</si>
  <si>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</si>
  <si>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</si>
  <si>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</si>
  <si>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</si>
  <si>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</si>
  <si>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</si>
  <si>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</si>
  <si>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</si>
  <si>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</si>
  <si>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</si>
  <si>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</si>
  <si>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</si>
  <si>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</si>
  <si>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</si>
  <si>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</si>
  <si>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</si>
  <si>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</si>
  <si>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</si>
  <si>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</si>
  <si>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</si>
  <si>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</si>
  <si>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</si>
  <si>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</si>
  <si>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</si>
  <si>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</si>
  <si>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</si>
  <si>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</si>
  <si>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</si>
  <si>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</si>
  <si>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</si>
  <si>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</si>
  <si>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</si>
  <si>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</si>
  <si>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</si>
  <si>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</si>
  <si>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</si>
  <si>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</si>
  <si>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</si>
  <si>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</si>
  <si>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</si>
  <si>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</si>
  <si>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</si>
  <si>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</si>
  <si>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</si>
  <si>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</si>
  <si>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</si>
  <si>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</si>
  <si>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</si>
  <si>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</si>
  <si>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</si>
  <si>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</si>
  <si>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</si>
  <si>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</si>
  <si>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</si>
  <si>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</si>
  <si>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</si>
  <si>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</si>
  <si>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</si>
  <si>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</si>
  <si>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</si>
  <si>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</si>
  <si>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</si>
  <si>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</si>
  <si>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</si>
  <si>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</si>
  <si>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</si>
  <si>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</si>
  <si>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</si>
  <si>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</si>
  <si>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</si>
  <si>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</si>
  <si>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</si>
  <si>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</si>
  <si>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</si>
  <si>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</si>
  <si>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</si>
  <si>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</si>
  <si>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</si>
  <si>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</si>
  <si>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</si>
  <si>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</si>
  <si>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</si>
  <si>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</si>
  <si>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</si>
  <si>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</si>
  <si>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</si>
  <si>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</si>
  <si>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</si>
  <si>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</si>
  <si>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</si>
  <si>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</si>
  <si>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</si>
  <si>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</si>
  <si>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</si>
  <si>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</si>
  <si>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</si>
  <si>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</si>
  <si>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</si>
  <si>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</si>
  <si>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</si>
  <si>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</si>
  <si>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</si>
  <si>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</si>
  <si>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</si>
  <si>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</si>
  <si>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</si>
  <si>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</si>
  <si>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</si>
  <si>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</si>
  <si>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</si>
  <si>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</si>
  <si>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</si>
  <si>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</si>
  <si>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</si>
  <si>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</si>
  <si>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</si>
  <si>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</si>
  <si>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</si>
  <si>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</si>
  <si>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</si>
  <si>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</si>
  <si>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</si>
  <si>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</si>
  <si>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</si>
  <si>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</si>
  <si>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</si>
  <si>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</si>
  <si>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</si>
  <si>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</si>
  <si>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</si>
  <si>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</si>
  <si>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</si>
  <si>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</si>
  <si>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</si>
  <si>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</si>
  <si>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</si>
  <si>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</si>
  <si>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</si>
  <si>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</si>
  <si>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</si>
  <si>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</si>
  <si>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</si>
  <si>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</si>
  <si>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</si>
  <si>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</si>
  <si>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</si>
  <si>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</si>
  <si>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</si>
  <si>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</si>
  <si>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</si>
  <si>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</si>
  <si>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</si>
  <si>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</si>
  <si>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</si>
  <si>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</si>
  <si>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</si>
  <si>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</si>
  <si>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</si>
  <si>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</si>
  <si>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</si>
  <si>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</si>
  <si>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</si>
  <si>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</si>
  <si>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</si>
  <si>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</si>
  <si>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</si>
  <si>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</si>
  <si>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</si>
  <si>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</si>
  <si>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</si>
  <si>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</si>
  <si>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</si>
  <si>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</si>
  <si>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</si>
  <si>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</si>
  <si>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</si>
  <si>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</si>
  <si>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</si>
  <si>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</si>
  <si>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</si>
  <si>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</si>
  <si>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</si>
  <si>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</si>
  <si>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</si>
  <si>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</si>
  <si>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</si>
  <si>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</si>
  <si>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</si>
  <si>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</si>
  <si>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</si>
  <si>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</si>
  <si>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</si>
  <si>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</si>
  <si>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</si>
  <si>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</si>
  <si>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</si>
  <si>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</si>
  <si>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</si>
  <si>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</si>
  <si>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</si>
  <si>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</si>
  <si>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</si>
  <si>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</si>
  <si>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</si>
  <si>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</si>
  <si>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</si>
  <si>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</si>
  <si>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</si>
  <si>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</si>
  <si>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</si>
  <si>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</si>
  <si>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</si>
  <si>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</si>
  <si>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</si>
  <si>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</si>
  <si>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</si>
  <si>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</si>
  <si>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</si>
  <si>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</si>
  <si>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</si>
  <si>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</si>
  <si>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</si>
  <si>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</si>
  <si>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</si>
  <si>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</si>
  <si>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</si>
  <si>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</si>
  <si>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</si>
  <si>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</si>
  <si>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</si>
  <si>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</si>
  <si>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</si>
  <si>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</si>
  <si>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</si>
  <si>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</si>
  <si>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</si>
  <si>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</si>
  <si>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</si>
  <si>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</si>
  <si>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</si>
  <si>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</si>
  <si>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</si>
  <si>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</si>
  <si>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</si>
  <si>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</si>
  <si>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</si>
  <si>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</si>
  <si>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</si>
  <si>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</si>
  <si>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</si>
  <si>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</si>
  <si>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</si>
  <si>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</si>
  <si>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</si>
  <si>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</si>
  <si>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</si>
  <si>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</si>
  <si>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</si>
  <si>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</si>
  <si>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</si>
  <si>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</si>
  <si>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</si>
  <si>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</si>
  <si>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</si>
  <si>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</si>
  <si>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</si>
  <si>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</si>
  <si>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</si>
  <si>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</si>
  <si>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</si>
  <si>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</si>
  <si>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</si>
  <si>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</si>
  <si>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</si>
  <si>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</si>
  <si>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</si>
  <si>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</si>
  <si>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</si>
  <si>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</si>
  <si>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</si>
  <si>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</si>
  <si>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</si>
  <si>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</si>
  <si>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</si>
  <si>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</si>
  <si>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</si>
  <si>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</si>
  <si>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</si>
  <si>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</si>
  <si>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</si>
  <si>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</si>
  <si>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</si>
  <si>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</si>
  <si>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</si>
  <si>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</si>
  <si>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</si>
  <si>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</si>
  <si>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</si>
  <si>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</si>
  <si>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</si>
  <si>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</si>
  <si>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</si>
  <si>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</si>
  <si>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</si>
  <si>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</si>
  <si>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</si>
  <si>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</si>
  <si>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</si>
  <si>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</si>
  <si>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</si>
  <si>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</si>
  <si>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</si>
  <si>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</si>
  <si>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</si>
  <si>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</si>
  <si>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</si>
  <si>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</si>
  <si>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</si>
  <si>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</si>
  <si>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</si>
  <si>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</si>
  <si>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</si>
  <si>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</si>
  <si>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</si>
  <si>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</si>
  <si>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</si>
  <si>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</si>
  <si>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</si>
  <si>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</si>
  <si>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</si>
  <si>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</si>
  <si>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</si>
  <si>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</si>
  <si>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</si>
  <si>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</si>
  <si>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</si>
  <si>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</si>
  <si>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</si>
  <si>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</si>
  <si>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</si>
  <si>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</si>
  <si>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</si>
  <si>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</si>
  <si>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</si>
  <si>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</si>
  <si>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</si>
  <si>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</si>
  <si>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</si>
  <si>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</si>
  <si>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</si>
  <si>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</si>
  <si>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</si>
  <si>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</si>
  <si>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</si>
  <si>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</si>
  <si>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</si>
  <si>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</si>
  <si>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</si>
  <si>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</si>
  <si>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</si>
  <si>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</si>
  <si>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</si>
  <si>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</si>
  <si>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</si>
  <si>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</si>
  <si>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</si>
  <si>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</si>
  <si>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</si>
  <si>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</si>
  <si>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</si>
  <si>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</si>
  <si>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</si>
  <si>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</si>
  <si>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</si>
  <si>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</si>
  <si>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</si>
  <si>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</si>
  <si>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</si>
  <si>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</si>
  <si>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</si>
  <si>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</si>
  <si>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</si>
  <si>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</si>
  <si>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</si>
  <si>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</si>
  <si>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</si>
  <si>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</si>
  <si>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</si>
  <si>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</si>
  <si>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</si>
  <si>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</si>
  <si>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</si>
  <si>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</si>
  <si>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</si>
  <si>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</si>
  <si>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</si>
  <si>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</si>
  <si>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</si>
  <si>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</si>
  <si>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</si>
  <si>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</si>
  <si>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</si>
  <si>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</si>
  <si>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</si>
  <si>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</si>
  <si>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</si>
  <si>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</si>
  <si>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</si>
  <si>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</si>
  <si>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</si>
  <si>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</si>
  <si>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</si>
  <si>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</si>
  <si>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</si>
  <si>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</si>
  <si>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</si>
  <si>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</si>
  <si>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</si>
  <si>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</si>
  <si>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</si>
  <si>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</si>
  <si>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</si>
  <si>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</si>
  <si>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</si>
  <si>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</si>
  <si>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</si>
  <si>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</si>
  <si>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</si>
  <si>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</si>
  <si>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</si>
  <si>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</si>
  <si>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</si>
  <si>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</si>
  <si>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</si>
  <si>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</si>
  <si>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</si>
  <si>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</si>
  <si>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</si>
  <si>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</si>
  <si>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</si>
  <si>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</si>
  <si>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</si>
  <si>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</si>
  <si>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</si>
  <si>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</si>
  <si>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</si>
  <si>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</si>
  <si>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</si>
  <si>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</si>
  <si>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</si>
  <si>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</si>
  <si>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</si>
  <si>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</si>
  <si>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</si>
  <si>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</si>
  <si>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</si>
  <si>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</si>
  <si>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</si>
  <si>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</si>
  <si>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</si>
  <si>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</si>
  <si>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</si>
  <si>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</si>
  <si>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</si>
  <si>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</si>
  <si>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</si>
  <si>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</si>
  <si>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</si>
  <si>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</si>
  <si>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</si>
  <si>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</si>
  <si>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</si>
  <si>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</si>
  <si>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</si>
  <si>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</si>
  <si>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</si>
  <si>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</si>
  <si>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</si>
  <si>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</si>
  <si>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</si>
  <si>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</si>
  <si>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</si>
  <si>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</si>
  <si>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</si>
  <si>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</si>
  <si>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</si>
  <si>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</si>
  <si>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</si>
  <si>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</si>
  <si>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</si>
  <si>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</si>
  <si>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</si>
  <si>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</si>
  <si>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</si>
  <si>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</si>
  <si>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</si>
  <si>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</si>
  <si>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</si>
  <si>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</si>
  <si>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</si>
  <si>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</si>
  <si>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</si>
  <si>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</si>
  <si>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</si>
  <si>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</si>
  <si>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</si>
  <si>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</si>
  <si>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</si>
  <si>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</si>
  <si>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</si>
  <si>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</si>
  <si>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</si>
  <si>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</si>
  <si>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</si>
  <si>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</si>
  <si>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</si>
  <si>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</si>
  <si>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</si>
  <si>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</si>
  <si>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</si>
  <si>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</si>
  <si>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</si>
  <si>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</si>
  <si>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</si>
  <si>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</si>
  <si>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</si>
  <si>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</si>
  <si>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</si>
  <si>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</si>
  <si>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</si>
  <si>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</si>
  <si>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</si>
  <si>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</si>
  <si>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</si>
  <si>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</si>
  <si>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</si>
  <si>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</si>
  <si>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</si>
  <si>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</si>
  <si>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</si>
  <si>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</si>
  <si>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</si>
  <si>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</si>
  <si>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</si>
  <si>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</si>
  <si>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</si>
  <si>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</si>
  <si>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</si>
  <si>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</si>
  <si>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</si>
  <si>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</si>
  <si>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</si>
  <si>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</si>
  <si>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</si>
  <si>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</si>
  <si>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</si>
  <si>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</si>
  <si>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</si>
  <si>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</si>
  <si>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</si>
  <si>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</si>
  <si>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</si>
  <si>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</si>
  <si>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</si>
  <si>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</si>
  <si>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</si>
  <si>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</si>
  <si>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</si>
  <si>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</si>
  <si>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</si>
  <si>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</si>
  <si>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</si>
  <si>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</si>
  <si>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</si>
  <si>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</si>
  <si>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</si>
  <si>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</si>
  <si>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</si>
  <si>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</si>
  <si>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</si>
  <si>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</si>
  <si>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</si>
  <si>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</si>
  <si>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</si>
  <si>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</si>
  <si>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</si>
  <si>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</si>
  <si>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</si>
  <si>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</si>
  <si>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</si>
  <si>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</si>
  <si>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</si>
  <si>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</si>
  <si>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</si>
  <si>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</si>
  <si>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</si>
  <si>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</si>
  <si>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</si>
  <si>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</si>
  <si>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</si>
  <si>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</si>
  <si>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</si>
  <si>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</si>
  <si>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</si>
  <si>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</si>
  <si>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</si>
  <si>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</si>
  <si>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</si>
  <si>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</si>
  <si>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</si>
  <si>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</si>
  <si>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</si>
  <si>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</si>
  <si>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</si>
  <si>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</si>
  <si>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</si>
  <si>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</si>
  <si>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</si>
  <si>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</si>
  <si>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</si>
  <si>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</si>
  <si>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</si>
  <si>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</si>
  <si>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</si>
  <si>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</si>
  <si>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</si>
  <si>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</si>
  <si>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</si>
  <si>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</si>
  <si>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</si>
  <si>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</si>
  <si>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</si>
  <si>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</si>
  <si>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</si>
  <si>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</si>
  <si>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</si>
  <si>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</si>
  <si>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</si>
  <si>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</si>
  <si>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</si>
  <si>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</si>
  <si>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</si>
  <si>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</si>
  <si>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</si>
  <si>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</si>
  <si>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</si>
  <si>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</si>
  <si>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</si>
  <si>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</si>
  <si>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</si>
  <si>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</si>
  <si>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</si>
  <si>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</si>
  <si>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</si>
  <si>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</si>
  <si>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</si>
  <si>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</si>
  <si>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</si>
  <si>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</si>
  <si>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</si>
  <si>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</si>
  <si>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</si>
  <si>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</si>
  <si>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</si>
  <si>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</si>
  <si>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</si>
  <si>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</si>
  <si>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</si>
  <si>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</si>
  <si>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</si>
  <si>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</si>
  <si>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</si>
  <si>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</si>
  <si>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</si>
  <si>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</si>
  <si>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</si>
  <si>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</si>
  <si>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</si>
  <si>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</si>
  <si>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</si>
  <si>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</si>
  <si>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</si>
  <si>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</si>
  <si>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</si>
  <si>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</si>
  <si>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</si>
  <si>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</si>
  <si>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</si>
  <si>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</si>
  <si>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</si>
  <si>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</si>
  <si>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</si>
  <si>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</si>
  <si>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</si>
  <si>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</si>
  <si>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</si>
  <si>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</si>
  <si>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</si>
  <si>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</si>
  <si>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</si>
  <si>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</si>
  <si>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</si>
  <si>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</si>
  <si>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</si>
  <si>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</si>
  <si>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</si>
  <si>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</si>
  <si>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</si>
  <si>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</si>
  <si>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</si>
  <si>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</si>
  <si>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</si>
  <si>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</si>
  <si>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</si>
  <si>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</si>
  <si>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</si>
  <si>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</si>
  <si>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</si>
  <si>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</si>
  <si>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</si>
  <si>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</si>
  <si>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</si>
  <si>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</si>
  <si>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</si>
  <si>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</si>
  <si>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</si>
  <si>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</si>
  <si>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</si>
  <si>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</si>
  <si>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</si>
  <si>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</si>
  <si>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</si>
  <si>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</si>
  <si>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</si>
  <si>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</si>
  <si>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</si>
  <si>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</si>
  <si>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</si>
  <si>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</si>
  <si>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</si>
  <si>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</si>
  <si>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</si>
  <si>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</si>
  <si>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</si>
  <si>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</si>
  <si>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</si>
  <si>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</si>
  <si>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</si>
  <si>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</si>
  <si>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</si>
  <si>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</si>
  <si>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</si>
  <si>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</si>
  <si>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</si>
  <si>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</si>
  <si>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</si>
  <si>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</si>
  <si>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</si>
  <si>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</si>
  <si>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</si>
  <si>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</si>
  <si>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</si>
  <si>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</si>
  <si>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</si>
  <si>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</si>
  <si>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</si>
  <si>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</si>
  <si>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</si>
  <si>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</si>
  <si>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</si>
  <si>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</si>
  <si>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</si>
  <si>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</si>
  <si>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</si>
  <si>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</si>
  <si>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</si>
  <si>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</si>
  <si>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</si>
  <si>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</si>
  <si>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</si>
  <si>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</si>
  <si>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</si>
  <si>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</si>
  <si>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</si>
  <si>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</si>
  <si>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</si>
  <si>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</si>
  <si>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</si>
  <si>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</si>
  <si>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</si>
  <si>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</si>
  <si>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</si>
  <si>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</si>
  <si>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</si>
  <si>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</si>
  <si>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</si>
  <si>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</si>
  <si>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</si>
  <si>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</si>
  <si>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</si>
  <si>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</si>
  <si>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</si>
  <si>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</si>
  <si>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</si>
  <si>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</si>
  <si>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</si>
  <si>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</si>
  <si>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</si>
  <si>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</si>
  <si>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</si>
  <si>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</si>
  <si>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</si>
  <si>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</si>
  <si>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</si>
  <si>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</si>
  <si>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</si>
  <si>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</si>
  <si>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</si>
  <si>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</si>
  <si>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</si>
  <si>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</si>
  <si>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</si>
  <si>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</si>
  <si>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</si>
  <si>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</si>
  <si>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</si>
  <si>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</si>
  <si>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</si>
  <si>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</si>
  <si>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</si>
  <si>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</si>
  <si>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</si>
  <si>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</si>
  <si>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</si>
  <si>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</si>
  <si>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</si>
  <si>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</si>
  <si>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</si>
  <si>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</si>
  <si>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</si>
  <si>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</si>
  <si>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</si>
  <si>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</si>
  <si>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</si>
  <si>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</si>
  <si>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</si>
  <si>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</si>
  <si>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</si>
  <si>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</si>
  <si>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</si>
  <si>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</si>
  <si>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</si>
  <si>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</si>
  <si>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</si>
  <si>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</si>
  <si>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</si>
  <si>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</si>
  <si>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</si>
  <si>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</si>
  <si>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</si>
  <si>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</si>
  <si>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</si>
  <si>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</si>
  <si>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</si>
  <si>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</si>
  <si>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</si>
  <si>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</si>
  <si>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</si>
  <si>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</si>
  <si>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</si>
  <si>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</si>
  <si>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</si>
  <si>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</si>
  <si>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</si>
  <si>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</si>
  <si>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</si>
  <si>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</si>
  <si>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</si>
  <si>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</si>
  <si>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</si>
  <si>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</si>
  <si>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</si>
  <si>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</si>
  <si>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</si>
  <si>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</si>
  <si>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</si>
  <si>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</si>
  <si>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</si>
  <si>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</si>
  <si>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</si>
  <si>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</si>
  <si>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</si>
  <si>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</si>
  <si>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</si>
  <si>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</si>
  <si>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</si>
  <si>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</si>
  <si>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</si>
  <si>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</si>
  <si>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</si>
  <si>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</si>
  <si>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</si>
  <si>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</si>
  <si>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</si>
  <si>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</si>
  <si>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</si>
  <si>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</si>
  <si>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</si>
  <si>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</si>
  <si>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</si>
  <si>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</si>
  <si>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</si>
  <si>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</si>
  <si>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</si>
  <si>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</si>
  <si>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</si>
  <si>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</si>
  <si>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</si>
  <si>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</si>
  <si>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</si>
  <si>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</si>
  <si>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</si>
  <si>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</si>
  <si>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</si>
  <si>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</si>
  <si>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</si>
  <si>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</si>
  <si>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</si>
  <si>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</si>
  <si>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</si>
  <si>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</si>
  <si>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</si>
  <si>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</si>
  <si>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</si>
  <si>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</si>
  <si>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</si>
  <si>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</si>
  <si>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</si>
  <si>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</si>
  <si>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</si>
  <si>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</si>
  <si>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</si>
  <si>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</si>
  <si>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</si>
  <si>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</si>
  <si>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</si>
  <si>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</si>
  <si>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</si>
  <si>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</si>
  <si>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</si>
  <si>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</si>
  <si>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</si>
  <si>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</si>
  <si>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</si>
  <si>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</si>
  <si>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</si>
  <si>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</si>
  <si>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</si>
  <si>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</si>
  <si>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</si>
  <si>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</si>
  <si>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</si>
  <si>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</si>
  <si>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</si>
  <si>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</si>
  <si>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</si>
  <si>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</si>
  <si>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</si>
  <si>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</si>
  <si>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</si>
  <si>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</si>
  <si>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</si>
  <si>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</si>
  <si>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</si>
  <si>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</si>
  <si>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</si>
  <si>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</si>
  <si>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</si>
  <si>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</si>
  <si>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</si>
  <si>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</si>
  <si>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</si>
  <si>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</si>
  <si>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</si>
  <si>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</si>
  <si>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</si>
  <si>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</si>
  <si>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</si>
  <si>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</si>
  <si>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</si>
  <si>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</si>
  <si>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</si>
  <si>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</si>
  <si>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</si>
  <si>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</si>
  <si>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</si>
  <si>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</si>
  <si>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</si>
  <si>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</si>
  <si>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</si>
  <si>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</si>
  <si>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</si>
  <si>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</si>
  <si>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</si>
  <si>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</si>
  <si>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</si>
  <si>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</si>
  <si>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</si>
  <si>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</si>
  <si>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</si>
  <si>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</si>
  <si>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</si>
  <si>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</si>
  <si>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</si>
  <si>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</si>
  <si>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</si>
  <si>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</si>
  <si>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</si>
  <si>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</si>
  <si>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</si>
  <si>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</si>
  <si>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</si>
  <si>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</si>
  <si>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</si>
  <si>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</si>
  <si>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</si>
  <si>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</si>
  <si>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</si>
  <si>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</si>
  <si>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</si>
  <si>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</si>
  <si>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</si>
  <si>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</si>
  <si>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</si>
  <si>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</si>
  <si>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</si>
  <si>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</si>
  <si>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</si>
  <si>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</si>
  <si>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</si>
  <si>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</si>
  <si>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</si>
  <si>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</si>
  <si>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</si>
  <si>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</si>
  <si>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</si>
  <si>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</si>
  <si>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</si>
  <si>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</si>
  <si>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</si>
  <si>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</si>
  <si>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</si>
  <si>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</si>
  <si>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</si>
  <si>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</si>
  <si>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</si>
  <si>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</si>
  <si>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</si>
  <si>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</si>
  <si>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</si>
  <si>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</si>
  <si>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</si>
  <si>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</si>
  <si>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</si>
  <si>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</si>
  <si>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</si>
  <si>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</si>
  <si>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</si>
  <si>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</si>
  <si>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</si>
  <si>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</si>
  <si>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</si>
  <si>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</si>
  <si>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</si>
  <si>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</si>
  <si>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</si>
  <si>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</si>
  <si>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</si>
  <si>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</si>
  <si>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</si>
  <si>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</si>
  <si>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</si>
  <si>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</si>
  <si>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</si>
  <si>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</si>
  <si>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</si>
  <si>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</si>
  <si>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</si>
  <si>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</si>
  <si>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</si>
  <si>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</si>
  <si>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</si>
  <si>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</si>
  <si>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</si>
  <si>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</si>
  <si>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</si>
  <si>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</si>
  <si>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</si>
  <si>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</si>
  <si>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</si>
  <si>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</si>
  <si>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</si>
  <si>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</si>
  <si>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</si>
  <si>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</si>
  <si>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</si>
  <si>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</si>
  <si>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</si>
  <si>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</si>
  <si>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</si>
  <si>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</si>
  <si>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</si>
  <si>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</si>
  <si>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</si>
  <si>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</si>
  <si>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</si>
  <si>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</si>
  <si>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</si>
  <si>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</si>
  <si>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</si>
  <si>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</si>
  <si>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</si>
  <si>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</si>
  <si>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</si>
  <si>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</si>
  <si>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</si>
  <si>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</si>
  <si>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</si>
  <si>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</si>
  <si>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</si>
  <si>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</si>
  <si>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</si>
  <si>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</si>
  <si>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</si>
  <si>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</si>
  <si>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</si>
  <si>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</si>
  <si>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</si>
  <si>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</si>
  <si>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</si>
  <si>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</si>
  <si>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</si>
  <si>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</si>
  <si>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</si>
  <si>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</si>
  <si>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</si>
  <si>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</si>
  <si>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</si>
  <si>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</si>
  <si>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</si>
  <si>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</si>
  <si>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</si>
  <si>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</si>
  <si>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</si>
  <si>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</si>
  <si>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</si>
  <si>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</si>
  <si>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</si>
  <si>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</si>
  <si>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</si>
  <si>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</si>
  <si>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</si>
  <si>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</si>
  <si>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</si>
  <si>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</si>
  <si>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</si>
  <si>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</si>
  <si>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</si>
  <si>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</si>
  <si>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</si>
  <si>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</si>
  <si>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</si>
  <si>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</si>
  <si>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</si>
  <si>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</si>
  <si>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</si>
  <si>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</si>
  <si>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</si>
  <si>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</si>
  <si>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</si>
  <si>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</si>
  <si>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</si>
  <si>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</si>
  <si>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</si>
  <si>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</si>
  <si>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</si>
  <si>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</si>
  <si>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</si>
  <si>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</si>
  <si>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</si>
  <si>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</si>
  <si>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</si>
  <si>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</si>
  <si>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</si>
  <si>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</si>
  <si>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</si>
  <si>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</si>
  <si>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</si>
  <si>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</si>
  <si>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</si>
  <si>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</si>
  <si>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</si>
  <si>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</si>
  <si>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</si>
  <si>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</si>
  <si>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</si>
  <si>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</si>
  <si>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</si>
  <si>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</si>
  <si>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</si>
  <si>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</si>
  <si>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</si>
  <si>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</si>
  <si>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</si>
  <si>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</si>
  <si>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</si>
  <si>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</si>
  <si>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</si>
  <si>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</si>
  <si>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</si>
  <si>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</si>
  <si>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</si>
  <si>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</si>
  <si>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</si>
  <si>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</si>
  <si>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</si>
  <si>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</si>
  <si>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</si>
  <si>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</si>
  <si>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</si>
  <si>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</si>
  <si>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</si>
  <si>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</si>
  <si>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</si>
  <si>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</si>
  <si>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</si>
  <si>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</si>
  <si>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</si>
  <si>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</si>
  <si>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</si>
  <si>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</si>
  <si>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</si>
  <si>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</si>
  <si>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</si>
  <si>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</si>
  <si>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</si>
  <si>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</si>
  <si>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</si>
  <si>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</si>
  <si>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</si>
  <si>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</si>
  <si>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</si>
  <si>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</si>
  <si>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</si>
  <si>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</si>
  <si>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</si>
  <si>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</si>
  <si>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</si>
  <si>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</si>
  <si>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</si>
  <si>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</si>
  <si>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</si>
  <si>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</si>
  <si>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</si>
  <si>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</si>
  <si>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</si>
  <si>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</si>
  <si>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</si>
  <si>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</si>
  <si>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</si>
  <si>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</si>
  <si>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</si>
  <si>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</si>
  <si>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</si>
  <si>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</si>
  <si>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</si>
  <si>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</si>
  <si>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</si>
  <si>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</si>
  <si>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</si>
  <si>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</si>
  <si>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</si>
  <si>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</si>
  <si>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</si>
  <si>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</si>
  <si>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</si>
  <si>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</si>
  <si>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</si>
  <si>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</si>
  <si>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</si>
  <si>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</si>
  <si>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</si>
  <si>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</si>
  <si>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</si>
  <si>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</si>
  <si>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</si>
  <si>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</si>
  <si>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</si>
  <si>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</si>
  <si>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</si>
  <si>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</si>
  <si>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</si>
  <si>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</si>
  <si>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</si>
  <si>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</si>
  <si>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</si>
  <si>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</si>
  <si>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</si>
  <si>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</si>
  <si>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</si>
  <si>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</si>
  <si>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</si>
  <si>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</si>
  <si>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</si>
  <si>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</si>
  <si>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</si>
  <si>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</si>
  <si>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</si>
  <si>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</si>
  <si>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</si>
  <si>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</si>
  <si>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</si>
  <si>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</si>
  <si>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</si>
  <si>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</si>
  <si>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</si>
  <si>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</si>
  <si>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</si>
  <si>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</si>
  <si>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</si>
  <si>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</si>
  <si>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</si>
  <si>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</si>
  <si>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</si>
  <si>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</si>
  <si>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</si>
  <si>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</si>
  <si>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</si>
  <si>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</si>
  <si>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</si>
  <si>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</si>
  <si>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</si>
  <si>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</si>
  <si>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</si>
  <si>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</si>
  <si>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</si>
  <si>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</si>
  <si>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</si>
  <si>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</si>
  <si>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</si>
  <si>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</si>
  <si>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</si>
  <si>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</si>
  <si>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</si>
  <si>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</si>
  <si>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</si>
  <si>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</si>
  <si>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</si>
  <si>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</si>
  <si>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</si>
  <si>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</si>
  <si>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</si>
  <si>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</si>
  <si>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</si>
  <si>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</si>
  <si>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</si>
  <si>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</si>
  <si>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</si>
  <si>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</si>
  <si>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</si>
  <si>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</si>
  <si>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</si>
  <si>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</si>
  <si>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</si>
  <si>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</si>
  <si>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</si>
  <si>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</si>
  <si>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</si>
  <si>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</si>
  <si>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</si>
  <si>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</si>
  <si>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</si>
  <si>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</si>
  <si>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</si>
  <si>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</si>
  <si>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</si>
  <si>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</si>
  <si>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</si>
  <si>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</si>
  <si>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</si>
  <si>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</si>
  <si>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</si>
  <si>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</si>
  <si>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</si>
  <si>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</si>
  <si>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</si>
  <si>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</si>
  <si>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</si>
  <si>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</si>
  <si>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</si>
  <si>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</si>
  <si>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</si>
  <si>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</si>
  <si>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</si>
  <si>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</si>
  <si>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</si>
  <si>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</si>
  <si>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</si>
  <si>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</si>
  <si>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</si>
  <si>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</si>
  <si>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</si>
  <si>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</si>
  <si>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</si>
  <si>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</si>
  <si>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</si>
  <si>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</si>
  <si>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</si>
  <si>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</si>
  <si>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</si>
  <si>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</si>
  <si>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</si>
  <si>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</si>
  <si>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</si>
  <si>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</si>
  <si>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</si>
  <si>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</si>
  <si>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</si>
  <si>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</si>
  <si>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</si>
  <si>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</si>
  <si>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</si>
  <si>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</si>
  <si>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</si>
  <si>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</si>
  <si>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</si>
  <si>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</si>
  <si>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</si>
  <si>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</si>
  <si>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</si>
  <si>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</si>
  <si>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</si>
  <si>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</si>
  <si>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</si>
  <si>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</si>
  <si>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</si>
  <si>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</si>
  <si>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</si>
  <si>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</si>
  <si>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</si>
  <si>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</si>
  <si>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</si>
  <si>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</si>
  <si>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</si>
  <si>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</si>
  <si>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</si>
  <si>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</si>
  <si>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</si>
  <si>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</si>
  <si>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</si>
  <si>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</si>
  <si>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</si>
  <si>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</si>
  <si>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</si>
  <si>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</si>
  <si>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</si>
  <si>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</si>
  <si>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</si>
  <si>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</si>
  <si>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</si>
  <si>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</si>
  <si>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</si>
  <si>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</si>
  <si>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</si>
  <si>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</si>
  <si>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</si>
  <si>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</si>
  <si>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</si>
  <si>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</si>
  <si>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</si>
  <si>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</si>
  <si>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</si>
  <si>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</si>
  <si>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</si>
  <si>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</si>
  <si>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</si>
  <si>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</si>
  <si>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</si>
  <si>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</si>
  <si>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</si>
  <si>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</si>
  <si>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</si>
  <si>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</si>
  <si>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</si>
  <si>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</si>
  <si>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</si>
  <si>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</si>
  <si>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</si>
  <si>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</si>
  <si>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</si>
  <si>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</si>
  <si>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</si>
  <si>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</si>
  <si>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</si>
  <si>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</si>
  <si>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</si>
  <si>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</si>
  <si>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</si>
  <si>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</si>
  <si>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</si>
  <si>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</si>
  <si>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</si>
  <si>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</si>
  <si>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</si>
  <si>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</si>
  <si>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</si>
  <si>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</si>
  <si>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</si>
  <si>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</si>
  <si>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</si>
  <si>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</si>
  <si>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</si>
  <si>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</si>
  <si>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</si>
  <si>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</si>
  <si>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</si>
  <si>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</si>
  <si>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</si>
  <si>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</si>
  <si>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</si>
  <si>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</si>
  <si>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</si>
  <si>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</si>
  <si>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</si>
  <si>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</si>
  <si>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</si>
  <si>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</si>
  <si>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</si>
  <si>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</si>
  <si>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</si>
  <si>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</si>
  <si>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</si>
  <si>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</si>
  <si>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</si>
  <si>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</si>
  <si>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</si>
  <si>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</si>
  <si>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</si>
  <si>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</si>
  <si>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</si>
  <si>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</si>
  <si>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</si>
  <si>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</si>
  <si>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</si>
  <si>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</si>
  <si>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</si>
  <si>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</si>
  <si>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</si>
  <si>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</si>
  <si>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</si>
  <si>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</si>
  <si>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</si>
  <si>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</si>
  <si>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</si>
  <si>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</si>
  <si>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</si>
  <si>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</si>
  <si>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</si>
  <si>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</si>
  <si>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</si>
  <si>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</si>
  <si>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</si>
  <si>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</si>
  <si>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</si>
  <si>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</si>
  <si>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</si>
  <si>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</si>
  <si>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</si>
  <si>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</si>
  <si>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</si>
  <si>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</si>
  <si>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</si>
  <si>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</si>
  <si>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</si>
  <si>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</si>
  <si>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</si>
  <si>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</si>
  <si>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</si>
  <si>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</si>
  <si>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</si>
  <si>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</si>
  <si>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</si>
  <si>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</si>
  <si>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</si>
  <si>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</si>
  <si>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</si>
  <si>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</si>
  <si>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</si>
  <si>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</si>
  <si>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</si>
  <si>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</si>
  <si>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</si>
  <si>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</si>
  <si>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</si>
  <si>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</si>
  <si>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</si>
  <si>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</si>
  <si>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</si>
  <si>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</si>
  <si>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</si>
  <si>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</si>
  <si>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</si>
  <si>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</si>
  <si>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</si>
  <si>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</si>
  <si>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</si>
  <si>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</si>
  <si>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</si>
  <si>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</si>
  <si>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</si>
  <si>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</si>
  <si>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</si>
  <si>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</si>
  <si>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</si>
  <si>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</si>
  <si>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</si>
  <si>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</si>
  <si>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</si>
  <si>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</si>
  <si>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</si>
  <si>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</si>
  <si>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</si>
  <si>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</si>
  <si>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</si>
  <si>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</si>
  <si>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</si>
  <si>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</si>
  <si>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</si>
  <si>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</si>
  <si>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</si>
  <si>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</si>
  <si>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</si>
  <si>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</si>
  <si>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</si>
  <si>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</si>
  <si>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</si>
  <si>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</si>
  <si>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</si>
  <si>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</si>
  <si>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</si>
  <si>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</si>
  <si>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</si>
  <si>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</si>
  <si>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</si>
  <si>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</si>
  <si>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</si>
  <si>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</si>
  <si>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</si>
  <si>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</si>
  <si>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</si>
  <si>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</si>
  <si>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</si>
  <si>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</si>
  <si>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</si>
  <si>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</si>
  <si>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</si>
  <si>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</si>
  <si>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</si>
  <si>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</si>
  <si>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</si>
  <si>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</si>
  <si>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</si>
  <si>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</si>
  <si>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</si>
  <si>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</si>
  <si>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</si>
  <si>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</si>
  <si>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</si>
  <si>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</si>
  <si>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</si>
  <si>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</si>
  <si>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</si>
  <si>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</si>
  <si>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</si>
  <si>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</si>
  <si>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</si>
  <si>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</si>
  <si>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</si>
  <si>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</si>
  <si>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</si>
  <si>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</si>
  <si>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</si>
  <si>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</si>
  <si>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</si>
  <si>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</si>
  <si>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</si>
  <si>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</si>
  <si>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</si>
  <si>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</si>
  <si>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</si>
  <si>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</si>
  <si>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</si>
  <si>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</si>
  <si>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</si>
  <si>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</si>
  <si>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</si>
  <si>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</si>
  <si>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</si>
  <si>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</si>
  <si>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</si>
  <si>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</si>
  <si>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</si>
  <si>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</si>
  <si>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</si>
  <si>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</si>
  <si>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</si>
  <si>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</si>
  <si>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</si>
  <si>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</si>
  <si>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</si>
  <si>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</si>
  <si>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</si>
  <si>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</si>
  <si>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</si>
  <si>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</si>
  <si>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</si>
  <si>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</si>
  <si>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</si>
  <si>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</si>
  <si>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</si>
  <si>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</si>
  <si>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</si>
  <si>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</si>
  <si>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</si>
  <si>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</si>
  <si>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</si>
  <si>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</si>
  <si>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</si>
  <si>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</si>
  <si>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</si>
  <si>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</si>
  <si>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</si>
  <si>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</si>
  <si>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</si>
  <si>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</si>
  <si>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</si>
  <si>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</si>
  <si>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</si>
  <si>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</si>
  <si>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</si>
  <si>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</si>
  <si>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</si>
  <si>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</si>
  <si>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</si>
  <si>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</si>
  <si>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</si>
  <si>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</si>
  <si>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</si>
  <si>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</si>
  <si>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</si>
  <si>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</si>
  <si>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</si>
  <si>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</si>
  <si>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</si>
  <si>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</si>
  <si>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</si>
  <si>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</si>
  <si>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</si>
  <si>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</si>
  <si>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</si>
  <si>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</si>
  <si>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</si>
  <si>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</si>
  <si>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</si>
  <si>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</si>
  <si>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</si>
  <si>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</si>
  <si>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</si>
  <si>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</si>
  <si>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</si>
  <si>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</si>
  <si>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</si>
  <si>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</si>
  <si>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</si>
  <si>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</si>
  <si>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</si>
  <si>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</si>
  <si>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</si>
  <si>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</si>
  <si>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</si>
  <si>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</si>
  <si>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</si>
  <si>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</si>
  <si>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</si>
  <si>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</si>
  <si>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</si>
  <si>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</si>
  <si>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</si>
  <si>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</si>
  <si>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</si>
  <si>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</si>
  <si>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</si>
  <si>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</si>
  <si>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</si>
  <si>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</si>
  <si>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</si>
  <si>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</si>
  <si>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</si>
  <si>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</si>
  <si>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</si>
  <si>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</si>
  <si>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</si>
  <si>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</si>
  <si>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</si>
  <si>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</si>
  <si>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</si>
  <si>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</si>
  <si>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</si>
  <si>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</si>
  <si>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</si>
  <si>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</si>
  <si>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</si>
  <si>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</si>
  <si>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</si>
  <si>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</si>
  <si>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</si>
  <si>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</si>
  <si>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</si>
  <si>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</si>
  <si>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</si>
  <si>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</si>
  <si>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</si>
  <si>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</si>
  <si>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</si>
  <si>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</si>
  <si>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</si>
  <si>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</si>
  <si>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</si>
  <si>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</si>
  <si>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</si>
  <si>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</si>
  <si>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</si>
  <si>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</si>
  <si>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</si>
  <si>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</si>
  <si>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</si>
  <si>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</si>
  <si>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</si>
  <si>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</si>
  <si>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</si>
  <si>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</si>
  <si>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</si>
  <si>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</si>
  <si>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</si>
  <si>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</si>
  <si>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</si>
  <si>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</si>
  <si>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</si>
  <si>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</si>
  <si>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</si>
  <si>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</si>
  <si>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</si>
  <si>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</si>
  <si>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</si>
  <si>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</si>
  <si>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</si>
  <si>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</si>
  <si>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</si>
  <si>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</si>
  <si>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</si>
  <si>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</si>
  <si>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</si>
  <si>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</si>
  <si>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</si>
  <si>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</si>
  <si>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</si>
  <si>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</si>
  <si>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</si>
  <si>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</si>
  <si>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</si>
  <si>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</si>
  <si>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</si>
  <si>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</si>
  <si>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</si>
  <si>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</si>
  <si>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</si>
  <si>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</si>
  <si>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</si>
  <si>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</si>
  <si>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</si>
  <si>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</si>
  <si>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</si>
  <si>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</si>
  <si>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</si>
  <si>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</si>
  <si>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</si>
  <si>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</si>
  <si>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</si>
  <si>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</si>
  <si>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</si>
  <si>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</si>
  <si>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</si>
  <si>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</si>
  <si>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</si>
  <si>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</si>
  <si>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</si>
  <si>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</si>
  <si>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</si>
  <si>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</si>
  <si>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</si>
  <si>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</si>
  <si>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</si>
  <si>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</si>
  <si>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</si>
  <si>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</si>
  <si>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</si>
  <si>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</si>
  <si>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</si>
  <si>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</si>
  <si>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</si>
  <si>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</si>
  <si>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</si>
  <si>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</si>
  <si>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</si>
  <si>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</si>
  <si>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</si>
  <si>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</si>
  <si>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</si>
  <si>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</si>
  <si>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</si>
  <si>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</si>
  <si>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</si>
  <si>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</si>
  <si>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</si>
  <si>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</si>
  <si>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</si>
  <si>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</si>
  <si>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</si>
  <si>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</si>
  <si>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</si>
  <si>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</si>
  <si>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</si>
  <si>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</si>
  <si>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</si>
  <si>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</si>
  <si>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</si>
  <si>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</si>
  <si>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</si>
  <si>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</si>
  <si>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</si>
  <si>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</si>
  <si>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</si>
  <si>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</si>
  <si>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</si>
  <si>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</si>
  <si>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</si>
  <si>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</si>
  <si>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</si>
  <si>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</si>
  <si>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</si>
  <si>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</si>
  <si>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</si>
  <si>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</si>
  <si>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</si>
  <si>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</si>
  <si>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</si>
  <si>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</si>
  <si>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</si>
  <si>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</si>
  <si>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</si>
  <si>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</si>
  <si>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</si>
  <si>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</si>
  <si>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</si>
  <si>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</si>
  <si>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</si>
  <si>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</si>
  <si>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</si>
  <si>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</si>
  <si>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</si>
  <si>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</si>
  <si>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</si>
  <si>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</si>
  <si>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</si>
  <si>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</si>
  <si>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</si>
  <si>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</si>
  <si>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</si>
  <si>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</si>
  <si>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</si>
  <si>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</si>
  <si>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</si>
  <si>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</si>
  <si>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</si>
  <si>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</si>
  <si>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</si>
  <si>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</si>
  <si>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</si>
  <si>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</si>
  <si>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</si>
  <si>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</si>
  <si>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</si>
  <si>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</si>
  <si>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</si>
  <si>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</si>
  <si>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</si>
  <si>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</si>
  <si>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</si>
  <si>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</si>
  <si>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</si>
  <si>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</si>
  <si>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</si>
  <si>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</si>
  <si>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</si>
  <si>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</si>
  <si>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</si>
  <si>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</si>
  <si>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</si>
  <si>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</si>
  <si>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</si>
  <si>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</si>
  <si>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</si>
  <si>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</si>
  <si>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</si>
  <si>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</si>
  <si>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</si>
  <si>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</si>
  <si>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</si>
  <si>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</si>
  <si>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</si>
  <si>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</si>
  <si>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</si>
  <si>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</si>
  <si>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</si>
  <si>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</si>
  <si>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</si>
  <si>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</si>
  <si>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</si>
  <si>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</si>
  <si>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</si>
  <si>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</si>
  <si>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</si>
  <si>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</si>
  <si>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</si>
  <si>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</si>
  <si>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</si>
  <si>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</si>
  <si>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</si>
  <si>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</si>
  <si>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</si>
  <si>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</si>
  <si>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</si>
  <si>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</si>
  <si>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</si>
  <si>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</si>
  <si>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</si>
  <si>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</si>
  <si>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</si>
  <si>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</si>
  <si>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</si>
  <si>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</si>
  <si>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</si>
  <si>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</si>
  <si>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</si>
  <si>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</si>
  <si>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</si>
  <si>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</si>
  <si>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</si>
  <si>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</si>
  <si>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</si>
  <si>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</si>
  <si>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</si>
  <si>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</si>
  <si>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</si>
  <si>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</si>
  <si>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</si>
  <si>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</si>
  <si>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</si>
  <si>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</si>
  <si>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</si>
  <si>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</si>
  <si>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</si>
  <si>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</si>
  <si>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</si>
  <si>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</si>
  <si>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</si>
  <si>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</si>
  <si>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</si>
  <si>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</si>
  <si>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</si>
  <si>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</si>
  <si>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</si>
  <si>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</si>
  <si>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</si>
  <si>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</si>
  <si>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</si>
  <si>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</si>
  <si>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</si>
  <si>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</si>
  <si>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</si>
  <si>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</si>
  <si>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</si>
  <si>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</si>
  <si>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</si>
  <si>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</si>
  <si>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</si>
  <si>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</si>
  <si>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</si>
  <si>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</si>
  <si>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</si>
  <si>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</si>
  <si>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</si>
  <si>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</si>
  <si>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</si>
  <si>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</si>
  <si>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</si>
  <si>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</si>
  <si>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</si>
  <si>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</si>
  <si>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</si>
  <si>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</si>
  <si>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</si>
  <si>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</si>
  <si>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</si>
  <si>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</si>
  <si>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</si>
  <si>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</si>
  <si>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</si>
  <si>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</si>
  <si>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</si>
  <si>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</si>
  <si>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</si>
  <si>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</si>
  <si>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</si>
  <si>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</si>
  <si>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</si>
  <si>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</si>
  <si>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</si>
  <si>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</si>
  <si>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</si>
  <si>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</si>
  <si>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</si>
  <si>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</si>
  <si>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</si>
  <si>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</si>
  <si>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</si>
  <si>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</si>
  <si>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</si>
  <si>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</si>
  <si>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</si>
  <si>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</si>
  <si>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</si>
  <si>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</si>
  <si>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</si>
  <si>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</si>
  <si>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</si>
  <si>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</si>
  <si>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</si>
  <si>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</si>
  <si>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</si>
  <si>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</si>
  <si>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</si>
  <si>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</si>
  <si>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</si>
  <si>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</si>
  <si>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</si>
  <si>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</si>
  <si>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</si>
  <si>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</si>
  <si>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</si>
  <si>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</si>
  <si>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</si>
  <si>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</si>
  <si>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</si>
  <si>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</si>
  <si>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</si>
  <si>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</si>
  <si>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</si>
  <si>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</si>
  <si>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</si>
  <si>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</si>
  <si>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</si>
  <si>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</si>
  <si>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</si>
  <si>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</si>
  <si>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</si>
  <si>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</si>
  <si>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</si>
  <si>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</si>
  <si>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</si>
  <si>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</si>
  <si>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</si>
  <si>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</si>
  <si>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</si>
  <si>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</si>
  <si>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</si>
  <si>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</si>
  <si>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</si>
  <si>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</si>
  <si>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</si>
  <si>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</si>
  <si>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</si>
  <si>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</si>
  <si>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</si>
  <si>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</si>
  <si>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</si>
  <si>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</si>
  <si>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</si>
  <si>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</si>
  <si>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</si>
  <si>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</si>
  <si>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</si>
  <si>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</si>
  <si>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</si>
  <si>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</si>
  <si>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</si>
  <si>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</si>
  <si>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</si>
  <si>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</si>
  <si>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</si>
  <si>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</si>
  <si>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</si>
  <si>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</si>
  <si>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</si>
  <si>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</si>
  <si>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</si>
  <si>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</si>
  <si>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</si>
  <si>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</si>
  <si>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</si>
  <si>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</si>
  <si>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</si>
  <si>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</si>
  <si>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</si>
  <si>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</si>
  <si>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</si>
  <si>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</si>
  <si>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</si>
  <si>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</si>
  <si>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</si>
  <si>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</si>
  <si>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</si>
  <si>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</si>
  <si>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</si>
  <si>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</si>
  <si>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</si>
  <si>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</si>
  <si>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</si>
  <si>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</si>
  <si>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</si>
  <si>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</si>
  <si>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</si>
  <si>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</si>
  <si>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</si>
  <si>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</si>
  <si>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</si>
  <si>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</si>
  <si>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</si>
  <si>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</si>
  <si>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</si>
  <si>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</si>
  <si>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</si>
  <si>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</si>
  <si>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</si>
  <si>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</si>
  <si>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</si>
  <si>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</si>
  <si>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</si>
  <si>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</si>
  <si>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</si>
  <si>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</si>
  <si>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</si>
  <si>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</si>
  <si>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</si>
  <si>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</si>
  <si>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</si>
  <si>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</si>
  <si>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</si>
  <si>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</si>
  <si>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</si>
  <si>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</si>
  <si>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</si>
  <si>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</si>
  <si>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</si>
  <si>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</si>
  <si>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</si>
  <si>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</si>
  <si>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</si>
  <si>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</si>
  <si>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</si>
  <si>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</si>
  <si>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</si>
  <si>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</si>
  <si>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</si>
  <si>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</si>
  <si>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</si>
  <si>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</si>
  <si>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</si>
  <si>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</si>
  <si>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</si>
  <si>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</si>
  <si>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</si>
  <si>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</si>
  <si>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</si>
  <si>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</si>
  <si>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</si>
  <si>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</si>
  <si>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</si>
  <si>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</si>
  <si>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</si>
  <si>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</si>
  <si>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</si>
  <si>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</si>
  <si>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</si>
  <si>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</si>
  <si>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</si>
  <si>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</si>
  <si>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</si>
  <si>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</si>
  <si>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</si>
  <si>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</si>
  <si>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</si>
  <si>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</si>
  <si>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</si>
  <si>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</si>
  <si>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</si>
  <si>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</si>
  <si>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</si>
  <si>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</si>
  <si>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</si>
  <si>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</si>
  <si>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</si>
  <si>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</si>
  <si>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</si>
  <si>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</si>
  <si>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</si>
  <si>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</si>
  <si>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</si>
  <si>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</si>
  <si>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</si>
  <si>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</si>
  <si>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</si>
  <si>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</si>
  <si>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</si>
  <si>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</si>
  <si>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</si>
  <si>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</si>
  <si>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</si>
  <si>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</si>
  <si>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</si>
  <si>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</si>
  <si>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</si>
  <si>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</si>
  <si>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</si>
  <si>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</si>
  <si>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</si>
  <si>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</si>
  <si>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</si>
  <si>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</si>
  <si>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</si>
  <si>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</si>
  <si>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</si>
  <si>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</si>
  <si>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</si>
  <si>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</si>
  <si>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</si>
  <si>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</si>
  <si>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</si>
  <si>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</si>
  <si>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</si>
  <si>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</si>
  <si>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</si>
  <si>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</si>
  <si>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</si>
  <si>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</si>
  <si>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</si>
  <si>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</si>
  <si>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</si>
  <si>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</si>
  <si>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</si>
  <si>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</si>
  <si>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</si>
  <si>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</si>
  <si>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</si>
  <si>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</si>
  <si>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</si>
  <si>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</si>
  <si>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</si>
  <si>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</si>
  <si>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</si>
  <si>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</si>
  <si>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</si>
  <si>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</si>
  <si>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</si>
  <si>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</si>
  <si>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</si>
  <si>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</si>
  <si>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</si>
  <si>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</si>
  <si>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</si>
  <si>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</si>
  <si>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</si>
  <si>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</si>
  <si>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</si>
  <si>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</si>
  <si>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</si>
  <si>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</si>
  <si>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</si>
  <si>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</si>
  <si>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</si>
  <si>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</si>
  <si>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</si>
  <si>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</si>
  <si>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</si>
  <si>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</si>
  <si>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</si>
  <si>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</si>
  <si>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</si>
  <si>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</si>
  <si>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</si>
  <si>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</si>
  <si>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</si>
  <si>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</si>
  <si>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</si>
  <si>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</si>
  <si>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</si>
  <si>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</si>
  <si>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</si>
  <si>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</si>
  <si>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</si>
  <si>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</si>
  <si>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</si>
  <si>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</si>
  <si>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</si>
  <si>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</si>
  <si>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</si>
  <si>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</si>
  <si>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</si>
  <si>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</si>
  <si>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</si>
  <si>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</si>
  <si>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</si>
  <si>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</si>
  <si>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</si>
  <si>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</si>
  <si>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</si>
  <si>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</si>
  <si>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</si>
  <si>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</si>
  <si>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</si>
  <si>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</si>
  <si>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</si>
  <si>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</si>
  <si>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</si>
  <si>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</si>
  <si>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</si>
  <si>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</si>
  <si>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</si>
  <si>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</si>
  <si>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</si>
  <si>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</si>
  <si>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</si>
  <si>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</si>
  <si>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</si>
  <si>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</si>
  <si>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</si>
  <si>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</si>
  <si>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</si>
  <si>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</si>
  <si>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</si>
  <si>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</si>
  <si>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</si>
  <si>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</si>
  <si>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</si>
  <si>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</si>
  <si>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</si>
  <si>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</si>
  <si>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</si>
  <si>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</si>
  <si>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</si>
  <si>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</si>
  <si>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</si>
  <si>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</si>
  <si>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</si>
  <si>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</si>
  <si>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</si>
  <si>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</si>
  <si>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</si>
  <si>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</si>
  <si>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</si>
  <si>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</si>
  <si>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</si>
  <si>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</si>
  <si>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</si>
  <si>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</si>
  <si>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</si>
  <si>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</si>
  <si>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</si>
  <si>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</si>
  <si>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</si>
  <si>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</si>
  <si>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</si>
  <si>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</si>
  <si>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</si>
  <si>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</si>
  <si>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</si>
  <si>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</si>
  <si>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</si>
  <si>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</si>
  <si>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</si>
  <si>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</si>
  <si>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</si>
  <si>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</si>
  <si>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</si>
  <si>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</si>
  <si>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</si>
  <si>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</si>
  <si>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</si>
  <si>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</si>
  <si>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</si>
  <si>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</si>
  <si>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</si>
  <si>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</si>
  <si>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</si>
  <si>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</si>
  <si>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</si>
  <si>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</si>
  <si>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</si>
  <si>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</si>
  <si>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</si>
  <si>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</si>
  <si>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</si>
  <si>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</si>
  <si>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</si>
  <si>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</si>
  <si>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</si>
  <si>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</si>
  <si>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</si>
  <si>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</si>
  <si>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</si>
  <si>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</si>
  <si>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</si>
  <si>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</si>
  <si>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</si>
  <si>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</si>
  <si>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</si>
  <si>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</si>
  <si>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</si>
  <si>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</si>
  <si>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</si>
  <si>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</si>
  <si>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</si>
  <si>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</si>
  <si>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</si>
  <si>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</si>
  <si>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</si>
  <si>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</si>
  <si>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</si>
  <si>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</si>
  <si>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</si>
  <si>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</si>
  <si>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</si>
  <si>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</si>
  <si>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</si>
  <si>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</si>
  <si>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</si>
  <si>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</si>
  <si>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</si>
  <si>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</si>
  <si>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</si>
  <si>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</si>
  <si>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</si>
  <si>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</si>
  <si>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</si>
  <si>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</si>
  <si>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</si>
  <si>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</si>
  <si>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</si>
  <si>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</si>
  <si>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</si>
  <si>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</si>
  <si>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</si>
  <si>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</si>
  <si>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</si>
  <si>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</si>
  <si>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</si>
  <si>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</si>
  <si>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</si>
  <si>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</si>
  <si>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</si>
  <si>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</si>
  <si>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</si>
  <si>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</si>
  <si>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</si>
  <si>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</si>
  <si>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</si>
  <si>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</si>
  <si>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</si>
  <si>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</si>
  <si>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</si>
  <si>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</si>
  <si>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</si>
  <si>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</si>
  <si>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</si>
  <si>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</si>
  <si>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</si>
  <si>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</si>
  <si>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</si>
  <si>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</si>
  <si>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</si>
  <si>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</si>
  <si>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</si>
  <si>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</si>
  <si>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</si>
  <si>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</si>
  <si>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</si>
  <si>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</si>
  <si>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</si>
  <si>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</si>
  <si>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</si>
  <si>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</si>
  <si>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</si>
  <si>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</si>
  <si>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</si>
  <si>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</si>
  <si>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</si>
  <si>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</si>
  <si>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</si>
  <si>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</si>
  <si>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</si>
  <si>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</si>
  <si>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</si>
  <si>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</si>
  <si>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</si>
  <si>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</si>
  <si>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</si>
  <si>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</si>
  <si>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</si>
  <si>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</si>
  <si>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</si>
  <si>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</si>
  <si>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</si>
  <si>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</si>
  <si>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</si>
  <si>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</si>
  <si>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</si>
  <si>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</si>
  <si>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</si>
  <si>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</si>
  <si>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</si>
  <si>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</si>
  <si>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</si>
  <si>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</si>
  <si>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</si>
  <si>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</si>
  <si>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</si>
  <si>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</si>
  <si>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</si>
  <si>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</si>
  <si>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</si>
  <si>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</si>
  <si>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</si>
  <si>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</si>
  <si>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</si>
  <si>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</si>
  <si>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</si>
  <si>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</si>
  <si>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</si>
  <si>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</si>
  <si>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</si>
  <si>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</si>
  <si>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</si>
  <si>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</si>
  <si>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</si>
  <si>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</si>
  <si>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</si>
  <si>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</si>
  <si>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</si>
  <si>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</si>
  <si>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</si>
  <si>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</si>
  <si>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</si>
  <si>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</si>
  <si>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</si>
  <si>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</si>
  <si>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</si>
  <si>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</si>
  <si>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</si>
  <si>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</si>
  <si>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</si>
  <si>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</si>
  <si>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</si>
  <si>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</si>
  <si>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</si>
  <si>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</si>
  <si>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</si>
  <si>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</si>
  <si>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</si>
  <si>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</si>
  <si>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</si>
  <si>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</si>
  <si>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</si>
  <si>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</si>
  <si>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</si>
  <si>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</si>
  <si>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</si>
  <si>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</si>
  <si>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</si>
  <si>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</si>
  <si>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</si>
  <si>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</si>
  <si>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</si>
  <si>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</si>
  <si>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</si>
  <si>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</si>
  <si>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</si>
  <si>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</si>
  <si>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</si>
  <si>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</si>
  <si>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</si>
  <si>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</si>
  <si>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</si>
  <si>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</si>
  <si>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</si>
  <si>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</si>
  <si>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</si>
  <si>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</si>
  <si>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</si>
  <si>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</si>
  <si>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</si>
  <si>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</si>
  <si>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</si>
  <si>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</si>
  <si>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</si>
  <si>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</si>
  <si>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</si>
  <si>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</si>
  <si>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</si>
  <si>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</si>
  <si>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</si>
  <si>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</si>
  <si>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</si>
  <si>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</si>
  <si>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</si>
  <si>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</si>
  <si>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</si>
  <si>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</si>
  <si>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</si>
  <si>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</si>
  <si>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</si>
  <si>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</si>
  <si>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</si>
  <si>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</si>
  <si>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</si>
  <si>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</si>
  <si>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</si>
  <si>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</si>
  <si>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</si>
  <si>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</si>
  <si>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</si>
  <si>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</si>
  <si>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</si>
  <si>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</si>
  <si>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</si>
  <si>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</si>
  <si>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</si>
  <si>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</si>
  <si>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</si>
  <si>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</si>
  <si>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</si>
  <si>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</si>
  <si>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</si>
  <si>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</si>
  <si>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</si>
  <si>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</si>
  <si>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</si>
  <si>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</si>
  <si>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</si>
  <si>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</si>
  <si>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</si>
  <si>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</si>
  <si>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</si>
  <si>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</si>
  <si>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</si>
  <si>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</si>
  <si>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</si>
  <si>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</si>
  <si>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</si>
  <si>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</si>
  <si>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</si>
  <si>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</si>
  <si>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</si>
  <si>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</si>
  <si>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</si>
  <si>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</si>
  <si>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</si>
  <si>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</si>
  <si>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</si>
  <si>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</si>
  <si>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</si>
  <si>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</si>
  <si>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</si>
  <si>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</si>
  <si>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</si>
  <si>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</si>
  <si>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</si>
  <si>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</si>
  <si>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</si>
  <si>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</si>
  <si>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</si>
  <si>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</si>
  <si>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</si>
  <si>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</si>
  <si>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</si>
  <si>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</si>
  <si>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</si>
  <si>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</si>
  <si>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</si>
  <si>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</si>
  <si>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</si>
  <si>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</si>
  <si>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</si>
  <si>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</si>
  <si>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</si>
  <si>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</si>
  <si>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</si>
  <si>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</si>
  <si>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</si>
  <si>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</si>
  <si>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</si>
  <si>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</si>
  <si>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</si>
  <si>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</si>
  <si>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</si>
  <si>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</si>
  <si>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</si>
  <si>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</si>
  <si>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</si>
  <si>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</si>
  <si>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</si>
  <si>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</si>
  <si>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</si>
  <si>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</si>
  <si>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</si>
  <si>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</si>
  <si>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</si>
  <si>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</si>
  <si>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</si>
  <si>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</si>
  <si>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</si>
  <si>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</si>
  <si>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</si>
  <si>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</si>
  <si>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</si>
  <si>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</si>
  <si>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</si>
  <si>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</si>
  <si>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</si>
  <si>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</si>
  <si>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</si>
  <si>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</si>
  <si>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</si>
  <si>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</si>
  <si>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</si>
  <si>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</si>
  <si>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</si>
  <si>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</si>
  <si>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</si>
  <si>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</si>
  <si>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</si>
  <si>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</si>
  <si>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</si>
  <si>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</si>
  <si>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</si>
  <si>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</si>
  <si>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</si>
  <si>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</si>
  <si>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</si>
  <si>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</si>
  <si>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</si>
  <si>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</si>
  <si>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</si>
  <si>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</si>
  <si>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</si>
  <si>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</si>
  <si>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</si>
  <si>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</si>
  <si>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</si>
  <si>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</si>
  <si>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</si>
  <si>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</si>
  <si>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</si>
  <si>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</si>
  <si>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</si>
  <si>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</si>
  <si>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</si>
  <si>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</si>
  <si>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</si>
  <si>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</si>
  <si>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</si>
  <si>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</si>
  <si>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</si>
  <si>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</si>
  <si>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</si>
  <si>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</si>
  <si>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</si>
  <si>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</si>
  <si>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</si>
  <si>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</si>
  <si>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</si>
  <si>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</si>
  <si>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</si>
  <si>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</si>
  <si>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</si>
  <si>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</si>
  <si>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</si>
  <si>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</si>
  <si>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</si>
  <si>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</si>
  <si>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</si>
  <si>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</si>
  <si>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</si>
  <si>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</si>
  <si>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</si>
  <si>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</si>
  <si>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</si>
  <si>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</si>
  <si>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</si>
  <si>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</si>
  <si>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</si>
  <si>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</si>
  <si>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</si>
  <si>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</si>
  <si>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</si>
  <si>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</si>
  <si>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</si>
  <si>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</si>
  <si>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</si>
  <si>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</si>
  <si>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</si>
  <si>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</si>
  <si>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</si>
  <si>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</si>
  <si>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</si>
  <si>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</si>
  <si>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</si>
  <si>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</si>
  <si>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</si>
  <si>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</si>
  <si>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</si>
  <si>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</si>
  <si>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</si>
  <si>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</si>
  <si>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</si>
  <si>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</si>
  <si>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</si>
  <si>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</si>
  <si>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</si>
  <si>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</si>
  <si>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</si>
  <si>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</si>
  <si>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</si>
  <si>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</si>
  <si>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</si>
  <si>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</si>
  <si>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</si>
  <si>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</si>
  <si>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</si>
  <si>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</si>
  <si>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</si>
  <si>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</si>
  <si>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</si>
  <si>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</si>
  <si>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</si>
  <si>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</si>
  <si>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</si>
  <si>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</si>
  <si>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</si>
  <si>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</si>
  <si>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</si>
  <si>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</si>
  <si>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</si>
  <si>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</si>
  <si>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</si>
  <si>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</si>
  <si>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</si>
  <si>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</si>
  <si>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</si>
  <si>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</si>
  <si>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</si>
  <si>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</si>
  <si>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</si>
  <si>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</si>
  <si>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</si>
  <si>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</si>
  <si>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</si>
  <si>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</si>
  <si>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</si>
  <si>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</si>
  <si>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</si>
  <si>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</si>
  <si>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</si>
  <si>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</si>
  <si>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</si>
  <si>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</si>
  <si>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</si>
  <si>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</si>
  <si>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</si>
  <si>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</si>
  <si>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</si>
  <si>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</si>
  <si>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</si>
  <si>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</si>
  <si>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</si>
  <si>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</si>
  <si>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GEOFFROY SEVENO, HUGUES TUPHILE</t>
  </si>
  <si>
    <t xml:space="preserve">RUISSEAU DE L'EPIE</t>
  </si>
  <si>
    <t xml:space="preserve">L'EPIE AU NIVEAU D'ORADOUR</t>
  </si>
  <si>
    <t xml:space="preserve">05096400</t>
  </si>
  <si>
    <t xml:space="preserve">9318 - HYDROBIO AEAG - LOT 3 - IBMR</t>
  </si>
  <si>
    <t xml:space="preserve">(Date)</t>
  </si>
  <si>
    <t xml:space="preserve">Résultats</t>
  </si>
  <si>
    <t xml:space="preserve">Robustesse:</t>
  </si>
  <si>
    <t xml:space="preserve">Unité(s) de relevé</t>
  </si>
  <si>
    <t xml:space="preserve">UR1</t>
  </si>
  <si>
    <t xml:space="preserve">UR2</t>
  </si>
  <si>
    <t xml:space="preserve">Faciès dominant</t>
  </si>
  <si>
    <t xml:space="preserve">pl.courant</t>
  </si>
  <si>
    <t xml:space="preserve">pl. lent</t>
  </si>
  <si>
    <t xml:space="preserve">niveau trophique</t>
  </si>
  <si>
    <t xml:space="preserve">faible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</si>
  <si>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</si>
  <si>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</si>
  <si>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</si>
  <si>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</si>
  <si>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</si>
  <si>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</si>
  <si>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</si>
  <si>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</si>
  <si>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</si>
  <si>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</si>
  <si>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</si>
  <si>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</si>
  <si>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</si>
  <si>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</si>
  <si>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</si>
  <si>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</si>
  <si>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</si>
  <si>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</si>
  <si>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</si>
  <si>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</si>
  <si>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</si>
  <si>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</si>
  <si>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</si>
  <si>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</si>
  <si>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</si>
  <si>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</si>
  <si>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</si>
  <si>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</si>
  <si>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</si>
  <si>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</si>
  <si>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</si>
  <si>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</si>
  <si>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</si>
  <si>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</si>
  <si>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</si>
  <si>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</si>
  <si>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</si>
  <si>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</si>
  <si>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</si>
  <si>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</si>
  <si>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</si>
  <si>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</si>
  <si>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</si>
  <si>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</si>
  <si>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</si>
  <si>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</si>
  <si>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</si>
  <si>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</si>
  <si>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</si>
  <si>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</si>
  <si>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</si>
  <si>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</si>
  <si>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</si>
  <si>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</si>
  <si>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</si>
  <si>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</si>
  <si>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</si>
  <si>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</si>
  <si>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</si>
  <si>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</si>
  <si>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</si>
  <si>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</si>
  <si>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</si>
  <si>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</si>
  <si>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</si>
  <si>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</si>
  <si>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</si>
  <si>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</si>
  <si>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</si>
  <si>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</si>
  <si>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</si>
  <si>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</si>
  <si>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</si>
  <si>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</si>
  <si>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</si>
  <si>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</si>
  <si>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</si>
  <si>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</si>
  <si>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</si>
  <si>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</si>
  <si>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</si>
  <si>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</si>
  <si>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</si>
  <si>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</si>
  <si>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</si>
  <si>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</si>
  <si>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</si>
  <si>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</si>
  <si>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</si>
  <si>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</si>
  <si>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</si>
  <si>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</si>
  <si>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Confer</t>
  </si>
  <si>
    <t xml:space="preserve">Cf.</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</si>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</sst>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7" colorId="64" zoomScale="100" zoomScaleNormal="100" zoomScalePageLayoutView="100" workbookViewId="0">
      <selection pane="topLeft" activeCell="A7" activeCellId="0" sqref="A7"/>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22" colorId="64" zoomScale="100" zoomScaleNormal="100" zoomScalePageLayoutView="100" workbookViewId="0">
      <selection pane="topLeft" activeCell="C1" activeCellId="0" sqref="C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true" showOutlineSymbols="true" defaultGridColor="true" view="normal" topLeftCell="C1" colorId="64" zoomScale="100" zoomScaleNormal="100" zoomScalePageLayoutView="100" workbookViewId="0">
      <selection pane="topLeft" activeCell="G14" activeCellId="0" sqref="G14"/>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64" zoomScaleNormal="64" zoomScalePageLayoutView="100" workbookViewId="0">
      <pane xSplit="1" ySplit="4" topLeftCell="H5" activePane="bottomRight" state="frozen"/>
      <selection pane="topLeft" activeCell="A1" activeCellId="0" sqref="A1"/>
      <selection pane="topRight" activeCell="H1" activeCellId="0" sqref="H1"/>
      <selection pane="bottomLeft" activeCell="A5" activeCellId="0" sqref="A5"/>
      <selection pane="bottomRight" activeCell="K5" activeCellId="0" sqref="K5"/>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58" zoomScaleNormal="58"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42611</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12.5483870967742</v>
      </c>
      <c r="N5" s="327"/>
      <c r="O5" s="328" t="s">
        <v>195</v>
      </c>
      <c r="P5" s="329" t="n">
        <v>11.96</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3393</v>
      </c>
      <c r="Q6" s="342"/>
      <c r="R6" s="285"/>
      <c r="S6" s="285"/>
      <c r="T6" s="285"/>
      <c r="U6" s="285"/>
      <c r="V6" s="285"/>
      <c r="W6" s="299"/>
    </row>
    <row r="7" customFormat="false" ht="12.75" hidden="false" customHeight="false" outlineLevel="0" collapsed="false">
      <c r="A7" s="343" t="s">
        <v>3394</v>
      </c>
      <c r="B7" s="344" t="n">
        <v>75</v>
      </c>
      <c r="C7" s="345" t="n">
        <v>25</v>
      </c>
      <c r="D7" s="333"/>
      <c r="E7" s="333"/>
      <c r="F7" s="346" t="n">
        <f aca="false">B7+C7</f>
        <v>100</v>
      </c>
      <c r="G7" s="347"/>
      <c r="H7" s="333"/>
      <c r="I7" s="285"/>
      <c r="J7" s="348"/>
      <c r="K7" s="349"/>
      <c r="L7" s="350"/>
      <c r="M7" s="351"/>
      <c r="N7" s="352"/>
      <c r="O7" s="353" t="s">
        <v>3395</v>
      </c>
      <c r="P7" s="354" t="s">
        <v>3396</v>
      </c>
      <c r="Q7" s="355"/>
      <c r="R7" s="285"/>
      <c r="S7" s="285"/>
      <c r="T7" s="285"/>
      <c r="U7" s="285"/>
      <c r="V7" s="285"/>
      <c r="W7" s="299"/>
    </row>
    <row r="8" customFormat="false" ht="12.75" hidden="false" customHeight="false" outlineLevel="0" collapsed="false">
      <c r="A8" s="319" t="s">
        <v>3397</v>
      </c>
      <c r="B8" s="319"/>
      <c r="C8" s="319"/>
      <c r="D8" s="333"/>
      <c r="E8" s="333"/>
      <c r="F8" s="356" t="s">
        <v>3398</v>
      </c>
      <c r="G8" s="357"/>
      <c r="H8" s="333"/>
      <c r="I8" s="285"/>
      <c r="J8" s="348"/>
      <c r="K8" s="349"/>
      <c r="L8" s="350"/>
      <c r="M8" s="351"/>
      <c r="N8" s="358" t="s">
        <v>3399</v>
      </c>
      <c r="O8" s="359" t="n">
        <f aca="false">IF(ISERROR(AVERAGE(J23:J82))," ",AVERAGE(J23:J82))</f>
        <v>11.8571428571429</v>
      </c>
      <c r="P8" s="359" t="n">
        <f aca="false">IF(ISERROR(AVERAGE(K23:K82)),"  ",AVERAGE(K23:K82))</f>
        <v>1.5</v>
      </c>
      <c r="Q8" s="360"/>
      <c r="R8" s="285"/>
      <c r="S8" s="285"/>
      <c r="T8" s="285"/>
      <c r="U8" s="285"/>
      <c r="V8" s="285"/>
      <c r="W8" s="299"/>
    </row>
    <row r="9" customFormat="false" ht="12.75" hidden="false" customHeight="false" outlineLevel="0" collapsed="false">
      <c r="A9" s="317" t="s">
        <v>3400</v>
      </c>
      <c r="B9" s="344"/>
      <c r="C9" s="345" t="n">
        <v>5</v>
      </c>
      <c r="D9" s="361"/>
      <c r="E9" s="361"/>
      <c r="F9" s="362" t="n">
        <f aca="false">($B9*$B$7+$C9*$C$7)/100</f>
        <v>1.25</v>
      </c>
      <c r="G9" s="363"/>
      <c r="H9" s="320"/>
      <c r="I9" s="285"/>
      <c r="J9" s="364"/>
      <c r="K9" s="365"/>
      <c r="L9" s="350"/>
      <c r="M9" s="366"/>
      <c r="N9" s="358" t="s">
        <v>3401</v>
      </c>
      <c r="O9" s="359" t="n">
        <f aca="false">IF(ISERROR(STDEVP(J23:J82))," ",STDEVP(J23:J82))</f>
        <v>2.0303814862217</v>
      </c>
      <c r="P9" s="359" t="n">
        <f aca="false">IF(ISERROR(STDEVP(K23:K82)),"  ",STDEVP(K23:K82))</f>
        <v>0.5</v>
      </c>
      <c r="Q9" s="360"/>
      <c r="R9" s="285"/>
      <c r="S9" s="285"/>
      <c r="T9" s="285"/>
      <c r="U9" s="285"/>
      <c r="V9" s="285"/>
      <c r="W9" s="299"/>
    </row>
    <row r="10" customFormat="false" ht="12.75" hidden="false" customHeight="false" outlineLevel="0" collapsed="false">
      <c r="A10" s="317" t="s">
        <v>3402</v>
      </c>
      <c r="B10" s="367" t="s">
        <v>3403</v>
      </c>
      <c r="C10" s="368" t="s">
        <v>3403</v>
      </c>
      <c r="D10" s="361"/>
      <c r="E10" s="361"/>
      <c r="F10" s="362"/>
      <c r="G10" s="363"/>
      <c r="H10" s="333"/>
      <c r="I10" s="285"/>
      <c r="J10" s="369"/>
      <c r="K10" s="370" t="s">
        <v>3404</v>
      </c>
      <c r="L10" s="371"/>
      <c r="M10" s="372"/>
      <c r="N10" s="358" t="s">
        <v>3405</v>
      </c>
      <c r="O10" s="373" t="n">
        <f aca="false">MIN(J23:J82)</f>
        <v>9</v>
      </c>
      <c r="P10" s="373" t="n">
        <f aca="false">MIN(K23:K82)</f>
        <v>1</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15</v>
      </c>
      <c r="P11" s="373" t="n">
        <f aca="false">MAX(K23:K82)</f>
        <v>2</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8</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4</v>
      </c>
      <c r="M13" s="382"/>
      <c r="N13" s="390" t="s">
        <v>3413</v>
      </c>
      <c r="O13" s="391" t="n">
        <f aca="false">COUNTIF(F23:F82,"&gt;0")</f>
        <v>17</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14</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5</v>
      </c>
      <c r="M15" s="382"/>
      <c r="N15" s="390" t="s">
        <v>3419</v>
      </c>
      <c r="O15" s="391" t="n">
        <f aca="false">COUNTIF(K23:K82,"=1")</f>
        <v>7</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7</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n">
        <f aca="false">IF(ISERROR((O13-(COUNTIF(J23:J82,"nc")))/O13),"-",(O13-(COUNTIF(J23:J82,"nc")))/O13)</f>
        <v>0.823529411764706</v>
      </c>
      <c r="N17" s="390" t="s">
        <v>3424</v>
      </c>
      <c r="O17" s="391" t="n">
        <f aca="false">COUNTIF(K23:K82,"=3")</f>
        <v>0</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3.635</v>
      </c>
      <c r="C20" s="434" t="n">
        <f aca="false">SUM(C23:C82)</f>
        <v>4.79</v>
      </c>
      <c r="D20" s="435"/>
      <c r="E20" s="436" t="s">
        <v>3426</v>
      </c>
      <c r="F20" s="437" t="n">
        <f aca="false">($B20*$B$7+$C20*$C$7)/100</f>
        <v>3.92375</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2.72625</v>
      </c>
      <c r="C21" s="445" t="n">
        <f aca="false">C20*C7/100</f>
        <v>1.1975</v>
      </c>
      <c r="D21" s="446" t="s">
        <v>3429</v>
      </c>
      <c r="E21" s="447"/>
      <c r="F21" s="448" t="n">
        <f aca="false">B21+C21</f>
        <v>3.92375</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53</v>
      </c>
      <c r="B23" s="474" t="n">
        <v>0.005</v>
      </c>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n">
        <f aca="false">IF(AND(OR(A23="",A23="!!!!!!"),B23="",C23=""),"",IF(OR(AND(B23="",C23=""),ISERROR(C23+B23)),"!!!",($B23*$B$7+$C23*$C$7)/100))</f>
        <v>0.00375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0.00375</v>
      </c>
      <c r="S23" s="487" t="n">
        <f aca="false">IF(OR(ISTEXT(H23),R23=0),"",IF(R23&lt;0.1,1,IF(R23&lt;1,2,IF(R23&lt;10,3,IF(R23&lt;50,4,IF(R23&gt;=50,5,""))))))</f>
        <v>1</v>
      </c>
      <c r="T23" s="487" t="n">
        <f aca="false">IF(ISERROR(S23*J23),0,S23*J23)</f>
        <v>13</v>
      </c>
      <c r="U23" s="487" t="n">
        <f aca="false">IF(ISERROR(S23*J23*K23),0,S23*J23*K23)</f>
        <v>26</v>
      </c>
      <c r="V23" s="487" t="n">
        <f aca="false">IF(ISERROR(S23*K23),0,S23*K23)</f>
        <v>2</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t="s">
        <v>195</v>
      </c>
      <c r="B24" s="491" t="n">
        <v>1.5</v>
      </c>
      <c r="C24" s="492" t="n">
        <v>0.005</v>
      </c>
      <c r="D24" s="493" t="str">
        <f aca="false">IF(ISERROR(VLOOKUP($A24,'liste reference'!$A$6:$B$1174,2,0)),IF(ISERROR(VLOOKUP($A24,'liste reference'!$B$6:$B$1174,1,0)),"",VLOOKUP($A24,'liste reference'!$B$6:$B$1174,1,0)),VLOOKUP($A24,'liste reference'!$A$6:$B$1174,2,0))</f>
        <v>Hildenbrandia sp.</v>
      </c>
      <c r="E24" s="494" t="e">
        <f aca="false">IF(D24="",,VLOOKUP(D24,D$22:D23,1,0))</f>
        <v>#N/A</v>
      </c>
      <c r="F24" s="495" t="n">
        <f aca="false">IF(AND(OR(A24="",A24="!!!!!!"),B24="",C24=""),"",IF(OR(AND(B24="",C24=""),ISERROR(C24+B24)),"!!!",($B24*$B$7+$C24*$C$7)/100))</f>
        <v>1.12625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Hildenbrandia sp.</v>
      </c>
      <c r="M24" s="499"/>
      <c r="N24" s="499"/>
      <c r="O24" s="499"/>
      <c r="P24" s="500" t="s">
        <v>3449</v>
      </c>
      <c r="Q24" s="501" t="n">
        <f aca="false">IF(OR($A24="NEWCOD",$A24="!!!!!!"),IF(X24="","NoCod",X24),IF($A24="","",IF(ISERROR(VLOOKUP($A24,'liste reference'!$A$6:$H$1174,8,FALSE())),IF(ISERROR(VLOOKUP($A24,'liste reference'!$B$6:$H$1174,7,FALSE())),"",VLOOKUP($A24,'liste reference'!$B$6:$H$1174,7,FALSE())),VLOOKUP($A24,'liste reference'!$A$6:$H$1174,8,FALSE()))))</f>
        <v>1157</v>
      </c>
      <c r="R24" s="486" t="n">
        <f aca="false">IF(ISTEXT(H24),"",(B24*$B$7/100)+(C24*$C$7/100))</f>
        <v>1.12625</v>
      </c>
      <c r="S24" s="487" t="n">
        <f aca="false">IF(OR(ISTEXT(H24),R24=0),"",IF(R24&lt;0.1,1,IF(R24&lt;1,2,IF(R24&lt;10,3,IF(R24&lt;50,4,IF(R24&gt;=50,5,""))))))</f>
        <v>3</v>
      </c>
      <c r="T24" s="487" t="n">
        <f aca="false">IF(ISERROR(S24*J24),0,S24*J24)</f>
        <v>45</v>
      </c>
      <c r="U24" s="487" t="n">
        <f aca="false">IF(ISERROR(S24*J24*K24),0,S24*J24*K24)</f>
        <v>90</v>
      </c>
      <c r="V24" s="502" t="n">
        <f aca="false">IF(ISERROR(S24*K24),0,S24*K24)</f>
        <v>6</v>
      </c>
      <c r="W24" s="503"/>
      <c r="X24" s="504"/>
      <c r="Y24" s="487" t="str">
        <f aca="false">IF(AND(ISNUMBER(F24),OR(A24="",A24="!!!!!!")),"!!!!!!",IF(A24="new.cod","NEWCOD",IF(AND((Z24=""),ISTEXT(A24),A24&lt;&gt;"!!!!!!"),A24,IF(Z24="","",INDEX('liste reference'!$A$6:$A$1174,Z24)))))</f>
        <v>HILSPX</v>
      </c>
      <c r="Z24" s="472" t="n">
        <f aca="false">IF(ISERROR(MATCH(A24,'liste reference'!$A$6:$A$1174,0)),IF(ISERROR(MATCH(A24,'liste reference'!$B$6:$B$1174,0)),"",(MATCH(A24,'liste reference'!$B$6:$B$1174,0))),(MATCH(A24,'liste reference'!$A$6:$A$1174,0)))</f>
        <v>53</v>
      </c>
    </row>
    <row r="25" customFormat="false" ht="12.75" hidden="false" customHeight="false" outlineLevel="0" collapsed="false">
      <c r="A25" s="490" t="s">
        <v>217</v>
      </c>
      <c r="B25" s="491" t="n">
        <v>0.2</v>
      </c>
      <c r="C25" s="492" t="n">
        <v>0.1</v>
      </c>
      <c r="D25" s="493" t="str">
        <f aca="false">IF(ISERROR(VLOOKUP($A25,'liste reference'!$A$6:$B$1174,2,0)),IF(ISERROR(VLOOKUP($A25,'liste reference'!$B$6:$B$1174,1,0)),"",VLOOKUP($A25,'liste reference'!$B$6:$B$1174,1,0)),VLOOKUP($A25,'liste reference'!$A$6:$B$1174,2,0))</f>
        <v>Lemanea sp.</v>
      </c>
      <c r="E25" s="494" t="e">
        <f aca="false">IF(D25="",,VLOOKUP(D25,D$22:D24,1,0))</f>
        <v>#N/A</v>
      </c>
      <c r="F25" s="495" t="n">
        <f aca="false">IF(AND(OR(A25="",A25="!!!!!!"),B25="",C25=""),"",IF(OR(AND(B25="",C25=""),ISERROR(C25+B25)),"!!!",($B25*$B$7+$C25*$C$7)/100))</f>
        <v>0.175</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Lemanea sp.</v>
      </c>
      <c r="M25" s="499"/>
      <c r="N25" s="499"/>
      <c r="O25" s="499"/>
      <c r="P25" s="500" t="s">
        <v>3449</v>
      </c>
      <c r="Q25" s="501" t="n">
        <f aca="false">IF(OR($A25="NEWCOD",$A25="!!!!!!"),IF(X25="","NoCod",X25),IF($A25="","",IF(ISERROR(VLOOKUP($A25,'liste reference'!$A$6:$H$1174,8,FALSE())),IF(ISERROR(VLOOKUP($A25,'liste reference'!$B$6:$H$1174,7,FALSE())),"",VLOOKUP($A25,'liste reference'!$B$6:$H$1174,7,FALSE())),VLOOKUP($A25,'liste reference'!$A$6:$H$1174,8,FALSE()))))</f>
        <v>1159</v>
      </c>
      <c r="R25" s="486" t="n">
        <f aca="false">IF(ISTEXT(H25),"",(B25*$B$7/100)+(C25*$C$7/100))</f>
        <v>0.175</v>
      </c>
      <c r="S25" s="487" t="n">
        <f aca="false">IF(OR(ISTEXT(H25),R25=0),"",IF(R25&lt;0.1,1,IF(R25&lt;1,2,IF(R25&lt;10,3,IF(R25&lt;50,4,IF(R25&gt;=50,5,""))))))</f>
        <v>2</v>
      </c>
      <c r="T25" s="487" t="n">
        <f aca="false">IF(ISERROR(S25*J25),0,S25*J25)</f>
        <v>30</v>
      </c>
      <c r="U25" s="487" t="n">
        <f aca="false">IF(ISERROR(S25*J25*K25),0,S25*J25*K25)</f>
        <v>60</v>
      </c>
      <c r="V25" s="502" t="n">
        <f aca="false">IF(ISERROR(S25*K25),0,S25*K25)</f>
        <v>4</v>
      </c>
      <c r="W25" s="503"/>
      <c r="X25" s="504"/>
      <c r="Y25" s="487" t="str">
        <f aca="false">IF(AND(ISNUMBER(F25),OR(A25="",A25="!!!!!!")),"!!!!!!",IF(A25="new.cod","NEWCOD",IF(AND((Z25=""),ISTEXT(A25),A25&lt;&gt;"!!!!!!"),A25,IF(Z25="","",INDEX('liste reference'!$A$6:$A$1174,Z25)))))</f>
        <v>LEASPX</v>
      </c>
      <c r="Z25" s="472" t="n">
        <f aca="false">IF(ISERROR(MATCH(A25,'liste reference'!$A$6:$A$1174,0)),IF(ISERROR(MATCH(A25,'liste reference'!$B$6:$B$1174,0)),"",(MATCH(A25,'liste reference'!$B$6:$B$1174,0))),(MATCH(A25,'liste reference'!$A$6:$A$1174,0)))</f>
        <v>59</v>
      </c>
    </row>
    <row r="26" customFormat="false" ht="12.75" hidden="false" customHeight="false" outlineLevel="0" collapsed="false">
      <c r="A26" s="490" t="s">
        <v>228</v>
      </c>
      <c r="B26" s="491" t="n">
        <v>0.01</v>
      </c>
      <c r="C26" s="492" t="n">
        <v>0.005</v>
      </c>
      <c r="D26" s="493" t="str">
        <f aca="false">IF(ISERROR(VLOOKUP($A26,'liste reference'!$A$6:$B$1174,2,0)),IF(ISERROR(VLOOKUP($A26,'liste reference'!$B$6:$B$1174,1,0)),"",VLOOKUP($A26,'liste reference'!$B$6:$B$1174,1,0)),VLOOKUP($A26,'liste reference'!$A$6:$B$1174,2,0))</f>
        <v>Melosira sp.</v>
      </c>
      <c r="E26" s="494" t="e">
        <f aca="false">IF(D26="",,VLOOKUP(D26,D$22:D25,1,0))</f>
        <v>#N/A</v>
      </c>
      <c r="F26" s="495" t="n">
        <f aca="false">IF(AND(OR(A26="",A26="!!!!!!"),B26="",C26=""),"",IF(OR(AND(B26="",C26=""),ISERROR(C26+B26)),"!!!",($B26*$B$7+$C26*$C$7)/100))</f>
        <v>0.00875</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10</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Melosira sp.</v>
      </c>
      <c r="M26" s="499"/>
      <c r="N26" s="499"/>
      <c r="O26" s="499"/>
      <c r="P26" s="500" t="s">
        <v>3449</v>
      </c>
      <c r="Q26" s="501" t="n">
        <f aca="false">IF(OR($A26="NEWCOD",$A26="!!!!!!"),IF(X26="","NoCod",X26),IF($A26="","",IF(ISERROR(VLOOKUP($A26,'liste reference'!$A$6:$H$1174,8,FALSE())),IF(ISERROR(VLOOKUP($A26,'liste reference'!$B$6:$H$1174,7,FALSE())),"",VLOOKUP($A26,'liste reference'!$B$6:$H$1174,7,FALSE())),VLOOKUP($A26,'liste reference'!$A$6:$H$1174,8,FALSE()))))</f>
        <v>8714</v>
      </c>
      <c r="R26" s="486" t="n">
        <f aca="false">IF(ISTEXT(H26),"",(B26*$B$7/100)+(C26*$C$7/100))</f>
        <v>0.00875</v>
      </c>
      <c r="S26" s="487" t="n">
        <f aca="false">IF(OR(ISTEXT(H26),R26=0),"",IF(R26&lt;0.1,1,IF(R26&lt;1,2,IF(R26&lt;10,3,IF(R26&lt;50,4,IF(R26&gt;=50,5,""))))))</f>
        <v>1</v>
      </c>
      <c r="T26" s="487" t="n">
        <f aca="false">IF(ISERROR(S26*J26),0,S26*J26)</f>
        <v>10</v>
      </c>
      <c r="U26" s="487" t="n">
        <f aca="false">IF(ISERROR(S26*J26*K26),0,S26*J26*K26)</f>
        <v>10</v>
      </c>
      <c r="V26" s="502" t="n">
        <f aca="false">IF(ISERROR(S26*K26),0,S26*K26)</f>
        <v>1</v>
      </c>
      <c r="W26" s="503"/>
      <c r="X26" s="504"/>
      <c r="Y26" s="487" t="str">
        <f aca="false">IF(AND(ISNUMBER(F26),OR(A26="",A26="!!!!!!")),"!!!!!!",IF(A26="new.cod","NEWCOD",IF(AND((Z26=""),ISTEXT(A26),A26&lt;&gt;"!!!!!!"),A26,IF(Z26="","",INDEX('liste reference'!$A$6:$A$1174,Z26)))))</f>
        <v>MELSPX</v>
      </c>
      <c r="Z26" s="472" t="n">
        <f aca="false">IF(ISERROR(MATCH(A26,'liste reference'!$A$6:$A$1174,0)),IF(ISERROR(MATCH(A26,'liste reference'!$B$6:$B$1174,0)),"",(MATCH(A26,'liste reference'!$B$6:$B$1174,0))),(MATCH(A26,'liste reference'!$A$6:$A$1174,0)))</f>
        <v>62</v>
      </c>
    </row>
    <row r="27" customFormat="false" ht="12.75" hidden="false" customHeight="false" outlineLevel="0" collapsed="false">
      <c r="A27" s="490" t="s">
        <v>291</v>
      </c>
      <c r="B27" s="491" t="n">
        <v>1</v>
      </c>
      <c r="C27" s="492" t="n">
        <v>3</v>
      </c>
      <c r="D27" s="493" t="str">
        <f aca="false">IF(ISERROR(VLOOKUP($A27,'liste reference'!$A$6:$B$1174,2,0)),IF(ISERROR(VLOOKUP($A27,'liste reference'!$B$6:$B$1174,1,0)),"",VLOOKUP($A27,'liste reference'!$B$6:$B$1174,1,0)),VLOOKUP($A27,'liste reference'!$A$6:$B$1174,2,0))</f>
        <v>Nostoc sp.</v>
      </c>
      <c r="E27" s="494" t="e">
        <f aca="false">IF(D27="",,VLOOKUP(D27,D$22:D26,1,0))</f>
        <v>#N/A</v>
      </c>
      <c r="F27" s="495" t="n">
        <f aca="false">IF(AND(OR(A27="",A27="!!!!!!"),B27="",C27=""),"",IF(OR(AND(B27="",C27=""),ISERROR(C27+B27)),"!!!",($B27*$B$7+$C27*$C$7)/100))</f>
        <v>1.5</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9</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Nostoc sp.</v>
      </c>
      <c r="M27" s="499"/>
      <c r="N27" s="499"/>
      <c r="O27" s="499"/>
      <c r="P27" s="500" t="s">
        <v>3449</v>
      </c>
      <c r="Q27" s="501" t="n">
        <f aca="false">IF(OR($A27="NEWCOD",$A27="!!!!!!"),IF(X27="","NoCod",X27),IF($A27="","",IF(ISERROR(VLOOKUP($A27,'liste reference'!$A$6:$H$1174,8,FALSE())),IF(ISERROR(VLOOKUP($A27,'liste reference'!$B$6:$H$1174,7,FALSE())),"",VLOOKUP($A27,'liste reference'!$B$6:$H$1174,7,FALSE())),VLOOKUP($A27,'liste reference'!$A$6:$H$1174,8,FALSE()))))</f>
        <v>1105</v>
      </c>
      <c r="R27" s="486" t="n">
        <f aca="false">IF(ISTEXT(H27),"",(B27*$B$7/100)+(C27*$C$7/100))</f>
        <v>1.5</v>
      </c>
      <c r="S27" s="487" t="n">
        <f aca="false">IF(OR(ISTEXT(H27),R27=0),"",IF(R27&lt;0.1,1,IF(R27&lt;1,2,IF(R27&lt;10,3,IF(R27&lt;50,4,IF(R27&gt;=50,5,""))))))</f>
        <v>3</v>
      </c>
      <c r="T27" s="487" t="n">
        <f aca="false">IF(ISERROR(S27*J27),0,S27*J27)</f>
        <v>27</v>
      </c>
      <c r="U27" s="487" t="n">
        <f aca="false">IF(ISERROR(S27*J27*K27),0,S27*J27*K27)</f>
        <v>27</v>
      </c>
      <c r="V27" s="502" t="n">
        <f aca="false">IF(ISERROR(S27*K27),0,S27*K27)</f>
        <v>3</v>
      </c>
      <c r="W27" s="503"/>
      <c r="X27" s="504"/>
      <c r="Y27" s="487" t="str">
        <f aca="false">IF(AND(ISNUMBER(F27),OR(A27="",A27="!!!!!!")),"!!!!!!",IF(A27="new.cod","NEWCOD",IF(AND((Z27=""),ISTEXT(A27),A27&lt;&gt;"!!!!!!"),A27,IF(Z27="","",INDEX('liste reference'!$A$6:$A$1174,Z27)))))</f>
        <v>NOSSPX</v>
      </c>
      <c r="Z27" s="472" t="n">
        <f aca="false">IF(ISERROR(MATCH(A27,'liste reference'!$A$6:$A$1174,0)),IF(ISERROR(MATCH(A27,'liste reference'!$B$6:$B$1174,0)),"",(MATCH(A27,'liste reference'!$B$6:$B$1174,0))),(MATCH(A27,'liste reference'!$A$6:$A$1174,0)))</f>
        <v>84</v>
      </c>
    </row>
    <row r="28" customFormat="false" ht="12.75" hidden="false" customHeight="false" outlineLevel="0" collapsed="false">
      <c r="A28" s="490" t="s">
        <v>306</v>
      </c>
      <c r="B28" s="491" t="n">
        <v>0.005</v>
      </c>
      <c r="C28" s="492" t="n">
        <v>0.005</v>
      </c>
      <c r="D28" s="493" t="str">
        <f aca="false">IF(ISERROR(VLOOKUP($A28,'liste reference'!$A$6:$B$1174,2,0)),IF(ISERROR(VLOOKUP($A28,'liste reference'!$B$6:$B$1174,1,0)),"",VLOOKUP($A28,'liste reference'!$B$6:$B$1174,1,0)),VLOOKUP($A28,'liste reference'!$A$6:$B$1174,2,0))</f>
        <v>Paralemanea sp.</v>
      </c>
      <c r="E28" s="494" t="e">
        <f aca="false">IF(D28="",,VLOOKUP(D28,D$22:D27,1,0))</f>
        <v>#N/A</v>
      </c>
      <c r="F28" s="495" t="n">
        <f aca="false">IF(AND(OR(A28="",A28="!!!!!!"),B28="",C28=""),"",IF(OR(AND(B28="",C28=""),ISERROR(C28+B28)),"!!!",($B28*$B$7+$C28*$C$7)/100))</f>
        <v>0.005</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str">
        <f aca="false">IF(ISNUMBER($H28),IF(ISERROR(VLOOKUP($A28,'liste reference'!$A$6:$Q$1174,6,0)),IF(ISERROR(VLOOKUP($A28,'liste reference'!$B$6:$Q$1174,5,0)),"nu",VLOOKUP($A28,'liste reference'!$B$6:$Q$1174,5,0)),VLOOKUP($A28,'liste reference'!$A$6:$Q$1174,6,0)),"nu")</f>
        <v>nc</v>
      </c>
      <c r="K28" s="498" t="str">
        <f aca="false">IF(ISNUMBER($H28),IF(ISERROR(VLOOKUP($A28,'liste reference'!$A$6:$Q$1174,7,0)),IF(ISERROR(VLOOKUP($A28,'liste reference'!$B$6:$Q$1174,6,0)),"nu",VLOOKUP($A28,'liste reference'!$B$6:$Q$1174,6,0)),VLOOKUP($A28,'liste reference'!$A$6:$Q$1174,7,0)),"nu")</f>
        <v>nc</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Paralemanea sp.</v>
      </c>
      <c r="M28" s="499"/>
      <c r="N28" s="499"/>
      <c r="O28" s="499"/>
      <c r="P28" s="500" t="s">
        <v>3449</v>
      </c>
      <c r="Q28" s="501" t="n">
        <f aca="false">IF(OR($A28="NEWCOD",$A28="!!!!!!"),IF(X28="","NoCod",X28),IF($A28="","",IF(ISERROR(VLOOKUP($A28,'liste reference'!$A$6:$H$1174,8,FALSE())),IF(ISERROR(VLOOKUP($A28,'liste reference'!$B$6:$H$1174,7,FALSE())),"",VLOOKUP($A28,'liste reference'!$B$6:$H$1174,7,FALSE())),VLOOKUP($A28,'liste reference'!$A$6:$H$1174,8,FALSE()))))</f>
        <v>31566</v>
      </c>
      <c r="R28" s="486" t="n">
        <f aca="false">IF(ISTEXT(H28),"",(B28*$B$7/100)+(C28*$C$7/100))</f>
        <v>0.005</v>
      </c>
      <c r="S28" s="487" t="n">
        <f aca="false">IF(OR(ISTEXT(H28),R28=0),"",IF(R28&lt;0.1,1,IF(R28&lt;1,2,IF(R28&lt;10,3,IF(R28&lt;50,4,IF(R28&gt;=50,5,""))))))</f>
        <v>1</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PAASPX</v>
      </c>
      <c r="Z28" s="472" t="n">
        <f aca="false">IF(ISERROR(MATCH(A28,'liste reference'!$A$6:$A$1174,0)),IF(ISERROR(MATCH(A28,'liste reference'!$B$6:$B$1174,0)),"",(MATCH(A28,'liste reference'!$B$6:$B$1174,0))),(MATCH(A28,'liste reference'!$A$6:$A$1174,0)))</f>
        <v>87</v>
      </c>
    </row>
    <row r="29" customFormat="false" ht="12.75" hidden="false" customHeight="false" outlineLevel="0" collapsed="false">
      <c r="A29" s="490" t="s">
        <v>309</v>
      </c>
      <c r="B29" s="491" t="n">
        <v>0.005</v>
      </c>
      <c r="C29" s="492" t="n">
        <v>0.01</v>
      </c>
      <c r="D29" s="493" t="str">
        <f aca="false">IF(ISERROR(VLOOKUP($A29,'liste reference'!$A$6:$B$1174,2,0)),IF(ISERROR(VLOOKUP($A29,'liste reference'!$B$6:$B$1174,1,0)),"",VLOOKUP($A29,'liste reference'!$B$6:$B$1174,1,0)),VLOOKUP($A29,'liste reference'!$A$6:$B$1174,2,0))</f>
        <v>Phormidium sp.</v>
      </c>
      <c r="E29" s="494" t="e">
        <f aca="false">IF(D29="",,VLOOKUP(D29,D$22:D28,1,0))</f>
        <v>#N/A</v>
      </c>
      <c r="F29" s="495" t="n">
        <f aca="false">IF(AND(OR(A29="",A29="!!!!!!"),B29="",C29=""),"",IF(OR(AND(B29="",C29=""),ISERROR(C29+B29)),"!!!",($B29*$B$7+$C29*$C$7)/100))</f>
        <v>0.00625</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13</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Phormidium sp.</v>
      </c>
      <c r="M29" s="499"/>
      <c r="N29" s="499"/>
      <c r="O29" s="499"/>
      <c r="P29" s="500" t="s">
        <v>3449</v>
      </c>
      <c r="Q29" s="501" t="n">
        <f aca="false">IF(OR($A29="NEWCOD",$A29="!!!!!!"),IF(X29="","NoCod",X29),IF($A29="","",IF(ISERROR(VLOOKUP($A29,'liste reference'!$A$6:$H$1174,8,FALSE())),IF(ISERROR(VLOOKUP($A29,'liste reference'!$B$6:$H$1174,7,FALSE())),"",VLOOKUP($A29,'liste reference'!$B$6:$H$1174,7,FALSE())),VLOOKUP($A29,'liste reference'!$A$6:$H$1174,8,FALSE()))))</f>
        <v>6414</v>
      </c>
      <c r="R29" s="486" t="n">
        <f aca="false">IF(ISTEXT(H29),"",(B29*$B$7/100)+(C29*$C$7/100))</f>
        <v>0.00625</v>
      </c>
      <c r="S29" s="487" t="n">
        <f aca="false">IF(OR(ISTEXT(H29),R29=0),"",IF(R29&lt;0.1,1,IF(R29&lt;1,2,IF(R29&lt;10,3,IF(R29&lt;50,4,IF(R29&gt;=50,5,""))))))</f>
        <v>1</v>
      </c>
      <c r="T29" s="487" t="n">
        <f aca="false">IF(ISERROR(S29*J29),0,S29*J29)</f>
        <v>13</v>
      </c>
      <c r="U29" s="487" t="n">
        <f aca="false">IF(ISERROR(S29*J29*K29),0,S29*J29*K29)</f>
        <v>26</v>
      </c>
      <c r="V29" s="502" t="n">
        <f aca="false">IF(ISERROR(S29*K29),0,S29*K29)</f>
        <v>2</v>
      </c>
      <c r="W29" s="503"/>
      <c r="X29" s="504"/>
      <c r="Y29" s="487" t="str">
        <f aca="false">IF(AND(ISNUMBER(F29),OR(A29="",A29="!!!!!!")),"!!!!!!",IF(A29="new.cod","NEWCOD",IF(AND((Z29=""),ISTEXT(A29),A29&lt;&gt;"!!!!!!"),A29,IF(Z29="","",INDEX('liste reference'!$A$6:$A$1174,Z29)))))</f>
        <v>PHOSPX</v>
      </c>
      <c r="Z29" s="472" t="n">
        <f aca="false">IF(ISERROR(MATCH(A29,'liste reference'!$A$6:$A$1174,0)),IF(ISERROR(MATCH(A29,'liste reference'!$B$6:$B$1174,0)),"",(MATCH(A29,'liste reference'!$B$6:$B$1174,0))),(MATCH(A29,'liste reference'!$A$6:$A$1174,0)))</f>
        <v>88</v>
      </c>
    </row>
    <row r="30" customFormat="false" ht="12.75" hidden="false" customHeight="false" outlineLevel="0" collapsed="false">
      <c r="A30" s="490" t="s">
        <v>355</v>
      </c>
      <c r="B30" s="491" t="n">
        <v>0.005</v>
      </c>
      <c r="C30" s="492" t="n">
        <v>0.005</v>
      </c>
      <c r="D30" s="493" t="str">
        <f aca="false">IF(ISERROR(VLOOKUP($A30,'liste reference'!$A$6:$B$1174,2,0)),IF(ISERROR(VLOOKUP($A30,'liste reference'!$B$6:$B$1174,1,0)),"",VLOOKUP($A30,'liste reference'!$B$6:$B$1174,1,0)),VLOOKUP($A30,'liste reference'!$A$6:$B$1174,2,0))</f>
        <v>Tetraspora sp.</v>
      </c>
      <c r="E30" s="494" t="e">
        <f aca="false">IF(D30="",,VLOOKUP(D30,D$22:D29,1,0))</f>
        <v>#N/A</v>
      </c>
      <c r="F30" s="495" t="n">
        <f aca="false">IF(AND(OR(A30="",A30="!!!!!!"),B30="",C30=""),"",IF(OR(AND(B30="",C30=""),ISERROR(C30+B30)),"!!!",($B30*$B$7+$C30*$C$7)/100))</f>
        <v>0.005</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12</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Tetraspora sp.</v>
      </c>
      <c r="M30" s="499"/>
      <c r="N30" s="499"/>
      <c r="O30" s="499"/>
      <c r="P30" s="500" t="s">
        <v>3449</v>
      </c>
      <c r="Q30" s="501" t="n">
        <f aca="false">IF(OR($A30="NEWCOD",$A30="!!!!!!"),IF(X30="","NoCod",X30),IF($A30="","",IF(ISERROR(VLOOKUP($A30,'liste reference'!$A$6:$H$1174,8,FALSE())),IF(ISERROR(VLOOKUP($A30,'liste reference'!$B$6:$H$1174,7,FALSE())),"",VLOOKUP($A30,'liste reference'!$B$6:$H$1174,7,FALSE())),VLOOKUP($A30,'liste reference'!$A$6:$H$1174,8,FALSE()))))</f>
        <v>1138</v>
      </c>
      <c r="R30" s="486" t="n">
        <f aca="false">IF(ISTEXT(H30),"",(B30*$B$7/100)+(C30*$C$7/100))</f>
        <v>0.005</v>
      </c>
      <c r="S30" s="487" t="n">
        <f aca="false">IF(OR(ISTEXT(H30),R30=0),"",IF(R30&lt;0.1,1,IF(R30&lt;1,2,IF(R30&lt;10,3,IF(R30&lt;50,4,IF(R30&gt;=50,5,""))))))</f>
        <v>1</v>
      </c>
      <c r="T30" s="487" t="n">
        <f aca="false">IF(ISERROR(S30*J30),0,S30*J30)</f>
        <v>12</v>
      </c>
      <c r="U30" s="487" t="n">
        <f aca="false">IF(ISERROR(S30*J30*K30),0,S30*J30*K30)</f>
        <v>12</v>
      </c>
      <c r="V30" s="502" t="n">
        <f aca="false">IF(ISERROR(S30*K30),0,S30*K30)</f>
        <v>1</v>
      </c>
      <c r="W30" s="503"/>
      <c r="X30" s="504"/>
      <c r="Y30" s="487" t="str">
        <f aca="false">IF(AND(ISNUMBER(F30),OR(A30="",A30="!!!!!!")),"!!!!!!",IF(A30="new.cod","NEWCOD",IF(AND((Z30=""),ISTEXT(A30),A30&lt;&gt;"!!!!!!"),A30,IF(Z30="","",INDEX('liste reference'!$A$6:$A$1174,Z30)))))</f>
        <v>TETSPX</v>
      </c>
      <c r="Z30" s="472" t="n">
        <f aca="false">IF(ISERROR(MATCH(A30,'liste reference'!$A$6:$A$1174,0)),IF(ISERROR(MATCH(A30,'liste reference'!$B$6:$B$1174,0)),"",(MATCH(A30,'liste reference'!$B$6:$B$1174,0))),(MATCH(A30,'liste reference'!$A$6:$A$1174,0)))</f>
        <v>107</v>
      </c>
    </row>
    <row r="31" customFormat="false" ht="12.75" hidden="false" customHeight="false" outlineLevel="0" collapsed="false">
      <c r="A31" s="490" t="s">
        <v>448</v>
      </c>
      <c r="B31" s="491" t="n">
        <v>0.01</v>
      </c>
      <c r="C31" s="492" t="n">
        <v>0.005</v>
      </c>
      <c r="D31" s="493" t="str">
        <f aca="false">IF(ISERROR(VLOOKUP($A31,'liste reference'!$A$6:$B$1174,2,0)),IF(ISERROR(VLOOKUP($A31,'liste reference'!$B$6:$B$1174,1,0)),"",VLOOKUP($A31,'liste reference'!$B$6:$B$1174,1,0)),VLOOKUP($A31,'liste reference'!$A$6:$B$1174,2,0))</f>
        <v>Chiloscyphus polyanthos</v>
      </c>
      <c r="E31" s="494" t="e">
        <f aca="false">IF(D31="",,VLOOKUP(D31,D$22:D30,1,0))</f>
        <v>#N/A</v>
      </c>
      <c r="F31" s="495" t="n">
        <f aca="false">IF(AND(OR(A31="",A31="!!!!!!"),B31="",C31=""),"",IF(OR(AND(B31="",C31=""),ISERROR(C31+B31)),"!!!",($B31*$B$7+$C31*$C$7)/100))</f>
        <v>0.00875</v>
      </c>
      <c r="G31" s="496" t="str">
        <f aca="false">IF(A31="","",IF(ISERROR(VLOOKUP($A31,'liste reference'!$A$6:$Q$1174,9,0)),IF(ISERROR(VLOOKUP($A31,'liste reference'!$B$6:$Q$1174,8,0)),"    -",VLOOKUP($A31,'liste reference'!$B$6:$Q$1174,8,0)),VLOOKUP($A31,'liste reference'!$A$6:$Q$1174,9,0)))</f>
        <v>BRh</v>
      </c>
      <c r="H31" s="497" t="n">
        <f aca="false">IF(A31="","x",IF(ISERROR(VLOOKUP($A31,'liste reference'!$A$6:$Q$1174,10,0)),IF(ISERROR(VLOOKUP($A31,'liste reference'!$B$6:$Q$1174,9,0)),"x",VLOOKUP($A31,'liste reference'!$B$6:$Q$1174,9,0)),VLOOKUP($A31,'liste reference'!$A$6:$Q$1174,10,0)))</f>
        <v>4</v>
      </c>
      <c r="I31" s="285" t="n">
        <f aca="false">IF(A31="","",1)</f>
        <v>1</v>
      </c>
      <c r="J31" s="498" t="n">
        <f aca="false">IF(ISNUMBER($H31),IF(ISERROR(VLOOKUP($A31,'liste reference'!$A$6:$Q$1174,6,0)),IF(ISERROR(VLOOKUP($A31,'liste reference'!$B$6:$Q$1174,5,0)),"nu",VLOOKUP($A31,'liste reference'!$B$6:$Q$1174,5,0)),VLOOKUP($A31,'liste reference'!$A$6:$Q$1174,6,0)),"nu")</f>
        <v>15</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Chiloscyphus polyanthos</v>
      </c>
      <c r="M31" s="499"/>
      <c r="N31" s="499"/>
      <c r="O31" s="499"/>
      <c r="P31" s="500" t="s">
        <v>3449</v>
      </c>
      <c r="Q31" s="501" t="n">
        <f aca="false">IF(OR($A31="NEWCOD",$A31="!!!!!!"),IF(X31="","NoCod",X31),IF($A31="","",IF(ISERROR(VLOOKUP($A31,'liste reference'!$A$6:$H$1174,8,FALSE())),IF(ISERROR(VLOOKUP($A31,'liste reference'!$B$6:$H$1174,7,FALSE())),"",VLOOKUP($A31,'liste reference'!$B$6:$H$1174,7,FALSE())),VLOOKUP($A31,'liste reference'!$A$6:$H$1174,8,FALSE()))))</f>
        <v>1186</v>
      </c>
      <c r="R31" s="486" t="n">
        <f aca="false">IF(ISTEXT(H31),"",(B31*$B$7/100)+(C31*$C$7/100))</f>
        <v>0.00875</v>
      </c>
      <c r="S31" s="487" t="n">
        <f aca="false">IF(OR(ISTEXT(H31),R31=0),"",IF(R31&lt;0.1,1,IF(R31&lt;1,2,IF(R31&lt;10,3,IF(R31&lt;50,4,IF(R31&gt;=50,5,""))))))</f>
        <v>1</v>
      </c>
      <c r="T31" s="487" t="n">
        <f aca="false">IF(ISERROR(S31*J31),0,S31*J31)</f>
        <v>15</v>
      </c>
      <c r="U31" s="487" t="n">
        <f aca="false">IF(ISERROR(S31*J31*K31),0,S31*J31*K31)</f>
        <v>30</v>
      </c>
      <c r="V31" s="502" t="n">
        <f aca="false">IF(ISERROR(S31*K31),0,S31*K31)</f>
        <v>2</v>
      </c>
      <c r="W31" s="503"/>
      <c r="X31" s="504"/>
      <c r="Y31" s="487" t="str">
        <f aca="false">IF(AND(ISNUMBER(F31),OR(A31="",A31="!!!!!!")),"!!!!!!",IF(A31="new.cod","NEWCOD",IF(AND((Z31=""),ISTEXT(A31),A31&lt;&gt;"!!!!!!"),A31,IF(Z31="","",INDEX('liste reference'!$A$6:$A$1174,Z31)))))</f>
        <v>CHIPOL</v>
      </c>
      <c r="Z31" s="472" t="n">
        <f aca="false">IF(ISERROR(MATCH(A31,'liste reference'!$A$6:$A$1174,0)),IF(ISERROR(MATCH(A31,'liste reference'!$B$6:$B$1174,0)),"",(MATCH(A31,'liste reference'!$B$6:$B$1174,0))),(MATCH(A31,'liste reference'!$A$6:$A$1174,0)))</f>
        <v>137</v>
      </c>
    </row>
    <row r="32" customFormat="false" ht="12.75" hidden="false" customHeight="false" outlineLevel="0" collapsed="false">
      <c r="A32" s="490" t="s">
        <v>830</v>
      </c>
      <c r="B32" s="491" t="n">
        <v>0.005</v>
      </c>
      <c r="C32" s="492"/>
      <c r="D32" s="493" t="str">
        <f aca="false">IF(ISERROR(VLOOKUP($A32,'liste reference'!$A$6:$B$1174,2,0)),IF(ISERROR(VLOOKUP($A32,'liste reference'!$B$6:$B$1174,1,0)),"",VLOOKUP($A32,'liste reference'!$B$6:$B$1174,1,0)),VLOOKUP($A32,'liste reference'!$A$6:$B$1174,2,0))</f>
        <v>Fissidens crassipes</v>
      </c>
      <c r="E32" s="494" t="e">
        <f aca="false">IF(D32="",,VLOOKUP(D32,D$22:D31,1,0))</f>
        <v>#N/A</v>
      </c>
      <c r="F32" s="495" t="n">
        <f aca="false">IF(AND(OR(A32="",A32="!!!!!!"),B32="",C32=""),"",IF(OR(AND(B32="",C32=""),ISERROR(C32+B32)),"!!!",($B32*$B$7+$C32*$C$7)/100))</f>
        <v>0.00375</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12</v>
      </c>
      <c r="K32" s="498" t="n">
        <f aca="false">IF(ISNUMBER($H32),IF(ISERROR(VLOOKUP($A32,'liste reference'!$A$6:$Q$1174,7,0)),IF(ISERROR(VLOOKUP($A32,'liste reference'!$B$6:$Q$1174,6,0)),"nu",VLOOKUP($A32,'liste reference'!$B$6:$Q$1174,6,0)),VLOOKUP($A32,'liste reference'!$A$6:$Q$1174,7,0)),"nu")</f>
        <v>2</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Fissidens crassipes</v>
      </c>
      <c r="M32" s="499"/>
      <c r="N32" s="499"/>
      <c r="O32" s="499"/>
      <c r="P32" s="500" t="s">
        <v>3449</v>
      </c>
      <c r="Q32" s="501" t="n">
        <f aca="false">IF(OR($A32="NEWCOD",$A32="!!!!!!"),IF(X32="","NoCod",X32),IF($A32="","",IF(ISERROR(VLOOKUP($A32,'liste reference'!$A$6:$H$1174,8,FALSE())),IF(ISERROR(VLOOKUP($A32,'liste reference'!$B$6:$H$1174,7,FALSE())),"",VLOOKUP($A32,'liste reference'!$B$6:$H$1174,7,FALSE())),VLOOKUP($A32,'liste reference'!$A$6:$H$1174,8,FALSE()))))</f>
        <v>1294</v>
      </c>
      <c r="R32" s="486" t="n">
        <f aca="false">IF(ISTEXT(H32),"",(B32*$B$7/100)+(C32*$C$7/100))</f>
        <v>0.00375</v>
      </c>
      <c r="S32" s="487" t="n">
        <f aca="false">IF(OR(ISTEXT(H32),R32=0),"",IF(R32&lt;0.1,1,IF(R32&lt;1,2,IF(R32&lt;10,3,IF(R32&lt;50,4,IF(R32&gt;=50,5,""))))))</f>
        <v>1</v>
      </c>
      <c r="T32" s="487" t="n">
        <f aca="false">IF(ISERROR(S32*J32),0,S32*J32)</f>
        <v>12</v>
      </c>
      <c r="U32" s="487" t="n">
        <f aca="false">IF(ISERROR(S32*J32*K32),0,S32*J32*K32)</f>
        <v>24</v>
      </c>
      <c r="V32" s="502" t="n">
        <f aca="false">IF(ISERROR(S32*K32),0,S32*K32)</f>
        <v>2</v>
      </c>
      <c r="W32" s="503"/>
      <c r="X32" s="504"/>
      <c r="Y32" s="487" t="str">
        <f aca="false">IF(AND(ISNUMBER(F32),OR(A32="",A32="!!!!!!")),"!!!!!!",IF(A32="new.cod","NEWCOD",IF(AND((Z32=""),ISTEXT(A32),A32&lt;&gt;"!!!!!!"),A32,IF(Z32="","",INDEX('liste reference'!$A$6:$A$1174,Z32)))))</f>
        <v>FISCRA</v>
      </c>
      <c r="Z32" s="472" t="n">
        <f aca="false">IF(ISERROR(MATCH(A32,'liste reference'!$A$6:$A$1174,0)),IF(ISERROR(MATCH(A32,'liste reference'!$B$6:$B$1174,0)),"",(MATCH(A32,'liste reference'!$B$6:$B$1174,0))),(MATCH(A32,'liste reference'!$A$6:$A$1174,0)))</f>
        <v>255</v>
      </c>
    </row>
    <row r="33" customFormat="false" ht="12.75" hidden="false" customHeight="false" outlineLevel="0" collapsed="false">
      <c r="A33" s="490" t="s">
        <v>889</v>
      </c>
      <c r="B33" s="491" t="n">
        <v>0.005</v>
      </c>
      <c r="C33" s="492" t="n">
        <v>0.1</v>
      </c>
      <c r="D33" s="493" t="str">
        <f aca="false">IF(ISERROR(VLOOKUP($A33,'liste reference'!$A$6:$B$1174,2,0)),IF(ISERROR(VLOOKUP($A33,'liste reference'!$B$6:$B$1174,1,0)),"",VLOOKUP($A33,'liste reference'!$B$6:$B$1174,1,0)),VLOOKUP($A33,'liste reference'!$A$6:$B$1174,2,0))</f>
        <v>Fontinalis antipyretica</v>
      </c>
      <c r="E33" s="494" t="e">
        <f aca="false">IF(D33="",,VLOOKUP(D33,D$22:D32,1,0))</f>
        <v>#N/A</v>
      </c>
      <c r="F33" s="495" t="n">
        <f aca="false">IF(AND(OR(A33="",A33="!!!!!!"),B33="",C33=""),"",IF(OR(AND(B33="",C33=""),ISERROR(C33+B33)),"!!!",($B33*$B$7+$C33*$C$7)/100))</f>
        <v>0.02875</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10</v>
      </c>
      <c r="K33" s="498" t="n">
        <f aca="false">IF(ISNUMBER($H33),IF(ISERROR(VLOOKUP($A33,'liste reference'!$A$6:$Q$1174,7,0)),IF(ISERROR(VLOOKUP($A33,'liste reference'!$B$6:$Q$1174,6,0)),"nu",VLOOKUP($A33,'liste reference'!$B$6:$Q$1174,6,0)),VLOOKUP($A33,'liste reference'!$A$6:$Q$1174,7,0)),"nu")</f>
        <v>1</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Fontinalis antipyretica</v>
      </c>
      <c r="M33" s="499"/>
      <c r="N33" s="499"/>
      <c r="O33" s="499"/>
      <c r="P33" s="500" t="s">
        <v>3449</v>
      </c>
      <c r="Q33" s="501" t="n">
        <f aca="false">IF(OR($A33="NEWCOD",$A33="!!!!!!"),IF(X33="","NoCod",X33),IF($A33="","",IF(ISERROR(VLOOKUP($A33,'liste reference'!$A$6:$H$1174,8,FALSE())),IF(ISERROR(VLOOKUP($A33,'liste reference'!$B$6:$H$1174,7,FALSE())),"",VLOOKUP($A33,'liste reference'!$B$6:$H$1174,7,FALSE())),VLOOKUP($A33,'liste reference'!$A$6:$H$1174,8,FALSE()))))</f>
        <v>1310</v>
      </c>
      <c r="R33" s="486" t="n">
        <f aca="false">IF(ISTEXT(H33),"",(B33*$B$7/100)+(C33*$C$7/100))</f>
        <v>0.02875</v>
      </c>
      <c r="S33" s="487" t="n">
        <f aca="false">IF(OR(ISTEXT(H33),R33=0),"",IF(R33&lt;0.1,1,IF(R33&lt;1,2,IF(R33&lt;10,3,IF(R33&lt;50,4,IF(R33&gt;=50,5,""))))))</f>
        <v>1</v>
      </c>
      <c r="T33" s="487" t="n">
        <f aca="false">IF(ISERROR(S33*J33),0,S33*J33)</f>
        <v>10</v>
      </c>
      <c r="U33" s="487" t="n">
        <f aca="false">IF(ISERROR(S33*J33*K33),0,S33*J33*K33)</f>
        <v>10</v>
      </c>
      <c r="V33" s="502" t="n">
        <f aca="false">IF(ISERROR(S33*K33),0,S33*K33)</f>
        <v>1</v>
      </c>
      <c r="W33" s="503"/>
      <c r="X33" s="504"/>
      <c r="Y33" s="487" t="str">
        <f aca="false">IF(AND(ISNUMBER(F33),OR(A33="",A33="!!!!!!")),"!!!!!!",IF(A33="new.cod","NEWCOD",IF(AND((Z33=""),ISTEXT(A33),A33&lt;&gt;"!!!!!!"),A33,IF(Z33="","",INDEX('liste reference'!$A$6:$A$1174,Z33)))))</f>
        <v>FONANT</v>
      </c>
      <c r="Z33" s="472" t="n">
        <f aca="false">IF(ISERROR(MATCH(A33,'liste reference'!$A$6:$A$1174,0)),IF(ISERROR(MATCH(A33,'liste reference'!$B$6:$B$1174,0)),"",(MATCH(A33,'liste reference'!$B$6:$B$1174,0))),(MATCH(A33,'liste reference'!$A$6:$A$1174,0)))</f>
        <v>273</v>
      </c>
    </row>
    <row r="34" customFormat="false" ht="12.75" hidden="false" customHeight="false" outlineLevel="0" collapsed="false">
      <c r="A34" s="490" t="s">
        <v>1122</v>
      </c>
      <c r="B34" s="491" t="n">
        <v>0.77</v>
      </c>
      <c r="C34" s="492" t="n">
        <v>0.05</v>
      </c>
      <c r="D34" s="493" t="str">
        <f aca="false">IF(ISERROR(VLOOKUP($A34,'liste reference'!$A$6:$B$1174,2,0)),IF(ISERROR(VLOOKUP($A34,'liste reference'!$B$6:$B$1174,1,0)),"",VLOOKUP($A34,'liste reference'!$B$6:$B$1174,1,0)),VLOOKUP($A34,'liste reference'!$A$6:$B$1174,2,0))</f>
        <v>Rhynchostegium riparioides</v>
      </c>
      <c r="E34" s="494" t="e">
        <f aca="false">IF(D34="",,VLOOKUP(D34,D$22:D33,1,0))</f>
        <v>#N/A</v>
      </c>
      <c r="F34" s="495" t="n">
        <f aca="false">IF(AND(OR(A34="",A34="!!!!!!"),B34="",C34=""),"",IF(OR(AND(B34="",C34=""),ISERROR(C34+B34)),"!!!",($B34*$B$7+$C34*$C$7)/100))</f>
        <v>0.59</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12</v>
      </c>
      <c r="K34" s="498" t="n">
        <f aca="false">IF(ISNUMBER($H34),IF(ISERROR(VLOOKUP($A34,'liste reference'!$A$6:$Q$1174,7,0)),IF(ISERROR(VLOOKUP($A34,'liste reference'!$B$6:$Q$1174,6,0)),"nu",VLOOKUP($A34,'liste reference'!$B$6:$Q$1174,6,0)),VLOOKUP($A34,'liste reference'!$A$6:$Q$1174,7,0)),"nu")</f>
        <v>1</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Rhynchostegium riparioides</v>
      </c>
      <c r="M34" s="499"/>
      <c r="N34" s="499"/>
      <c r="O34" s="499"/>
      <c r="P34" s="500" t="s">
        <v>3449</v>
      </c>
      <c r="Q34" s="501" t="n">
        <f aca="false">IF(OR($A34="NEWCOD",$A34="!!!!!!"),IF(X34="","NoCod",X34),IF($A34="","",IF(ISERROR(VLOOKUP($A34,'liste reference'!$A$6:$H$1174,8,FALSE())),IF(ISERROR(VLOOKUP($A34,'liste reference'!$B$6:$H$1174,7,FALSE())),"",VLOOKUP($A34,'liste reference'!$B$6:$H$1174,7,FALSE())),VLOOKUP($A34,'liste reference'!$A$6:$H$1174,8,FALSE()))))</f>
        <v>31691</v>
      </c>
      <c r="R34" s="486" t="n">
        <f aca="false">IF(ISTEXT(H34),"",(B34*$B$7/100)+(C34*$C$7/100))</f>
        <v>0.59</v>
      </c>
      <c r="S34" s="487" t="n">
        <f aca="false">IF(OR(ISTEXT(H34),R34=0),"",IF(R34&lt;0.1,1,IF(R34&lt;1,2,IF(R34&lt;10,3,IF(R34&lt;50,4,IF(R34&gt;=50,5,""))))))</f>
        <v>2</v>
      </c>
      <c r="T34" s="487" t="n">
        <f aca="false">IF(ISERROR(S34*J34),0,S34*J34)</f>
        <v>24</v>
      </c>
      <c r="U34" s="487" t="n">
        <f aca="false">IF(ISERROR(S34*J34*K34),0,S34*J34*K34)</f>
        <v>24</v>
      </c>
      <c r="V34" s="502" t="n">
        <f aca="false">IF(ISERROR(S34*K34),0,S34*K34)</f>
        <v>2</v>
      </c>
      <c r="W34" s="503"/>
      <c r="X34" s="504"/>
      <c r="Y34" s="487" t="str">
        <f aca="false">IF(AND(ISNUMBER(F34),OR(A34="",A34="!!!!!!")),"!!!!!!",IF(A34="new.cod","NEWCOD",IF(AND((Z34=""),ISTEXT(A34),A34&lt;&gt;"!!!!!!"),A34,IF(Z34="","",INDEX('liste reference'!$A$6:$A$1174,Z34)))))</f>
        <v>RHYRIP</v>
      </c>
      <c r="Z34" s="472" t="n">
        <f aca="false">IF(ISERROR(MATCH(A34,'liste reference'!$A$6:$A$1174,0)),IF(ISERROR(MATCH(A34,'liste reference'!$B$6:$B$1174,0)),"",(MATCH(A34,'liste reference'!$B$6:$B$1174,0))),(MATCH(A34,'liste reference'!$A$6:$A$1174,0)))</f>
        <v>345</v>
      </c>
    </row>
    <row r="35" customFormat="false" ht="12.75" hidden="false" customHeight="false" outlineLevel="0" collapsed="false">
      <c r="A35" s="490" t="s">
        <v>2138</v>
      </c>
      <c r="B35" s="491" t="n">
        <v>0.1</v>
      </c>
      <c r="C35" s="492" t="n">
        <v>0.5</v>
      </c>
      <c r="D35" s="493" t="str">
        <f aca="false">IF(ISERROR(VLOOKUP($A35,'liste reference'!$A$6:$B$1174,2,0)),IF(ISERROR(VLOOKUP($A35,'liste reference'!$B$6:$B$1174,1,0)),"",VLOOKUP($A35,'liste reference'!$B$6:$B$1174,1,0)),VLOOKUP($A35,'liste reference'!$A$6:$B$1174,2,0))</f>
        <v>Mentha longifolia</v>
      </c>
      <c r="E35" s="494" t="e">
        <f aca="false">IF(D35="",,VLOOKUP(D35,D$22:D34,1,0))</f>
        <v>#N/A</v>
      </c>
      <c r="F35" s="495" t="n">
        <f aca="false">IF(AND(OR(A35="",A35="!!!!!!"),B35="",C35=""),"",IF(OR(AND(B35="",C35=""),ISERROR(C35+B35)),"!!!",($B35*$B$7+$C35*$C$7)/100))</f>
        <v>0.2</v>
      </c>
      <c r="G35" s="496" t="str">
        <f aca="false">IF(A35="","",IF(ISERROR(VLOOKUP($A35,'liste reference'!$A$6:$Q$1174,9,0)),IF(ISERROR(VLOOKUP($A35,'liste reference'!$B$6:$Q$1174,8,0)),"    -",VLOOKUP($A35,'liste reference'!$B$6:$Q$1174,8,0)),VLOOKUP($A35,'liste reference'!$A$6:$Q$1174,9,0)))</f>
        <v>PHe</v>
      </c>
      <c r="H35" s="497" t="n">
        <f aca="false">IF(A35="","x",IF(ISERROR(VLOOKUP($A35,'liste reference'!$A$6:$Q$1174,10,0)),IF(ISERROR(VLOOKUP($A35,'liste reference'!$B$6:$Q$1174,9,0)),"x",VLOOKUP($A35,'liste reference'!$B$6:$Q$1174,9,0)),VLOOKUP($A35,'liste reference'!$A$6:$Q$1174,10,0)))</f>
        <v>8</v>
      </c>
      <c r="I35" s="285" t="n">
        <f aca="false">IF(A35="","",1)</f>
        <v>1</v>
      </c>
      <c r="J35" s="498" t="str">
        <f aca="false">IF(ISNUMBER($H35),IF(ISERROR(VLOOKUP($A35,'liste reference'!$A$6:$Q$1174,6,0)),IF(ISERROR(VLOOKUP($A35,'liste reference'!$B$6:$Q$1174,5,0)),"nu",VLOOKUP($A35,'liste reference'!$B$6:$Q$1174,5,0)),VLOOKUP($A35,'liste reference'!$A$6:$Q$1174,6,0)),"nu")</f>
        <v>nc</v>
      </c>
      <c r="K35" s="498" t="str">
        <f aca="false">IF(ISNUMBER($H35),IF(ISERROR(VLOOKUP($A35,'liste reference'!$A$6:$Q$1174,7,0)),IF(ISERROR(VLOOKUP($A35,'liste reference'!$B$6:$Q$1174,6,0)),"nu",VLOOKUP($A35,'liste reference'!$B$6:$Q$1174,6,0)),VLOOKUP($A35,'liste reference'!$A$6:$Q$1174,7,0)),"nu")</f>
        <v>nc</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Mentha longifolia</v>
      </c>
      <c r="M35" s="499"/>
      <c r="N35" s="499"/>
      <c r="O35" s="499"/>
      <c r="P35" s="500" t="s">
        <v>3449</v>
      </c>
      <c r="Q35" s="501" t="n">
        <f aca="false">IF(OR($A35="NEWCOD",$A35="!!!!!!"),IF(X35="","NoCod",X35),IF($A35="","",IF(ISERROR(VLOOKUP($A35,'liste reference'!$A$6:$H$1174,8,FALSE())),IF(ISERROR(VLOOKUP($A35,'liste reference'!$B$6:$H$1174,7,FALSE())),"",VLOOKUP($A35,'liste reference'!$B$6:$H$1174,7,FALSE())),VLOOKUP($A35,'liste reference'!$A$6:$H$1174,8,FALSE()))))</f>
        <v>19856</v>
      </c>
      <c r="R35" s="486" t="n">
        <f aca="false">IF(ISTEXT(H35),"",(B35*$B$7/100)+(C35*$C$7/100))</f>
        <v>0.2</v>
      </c>
      <c r="S35" s="487" t="n">
        <f aca="false">IF(OR(ISTEXT(H35),R35=0),"",IF(R35&lt;0.1,1,IF(R35&lt;1,2,IF(R35&lt;10,3,IF(R35&lt;50,4,IF(R35&gt;=50,5,""))))))</f>
        <v>2</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MENLON</v>
      </c>
      <c r="Z35" s="472" t="n">
        <f aca="false">IF(ISERROR(MATCH(A35,'liste reference'!$A$6:$A$1174,0)),IF(ISERROR(MATCH(A35,'liste reference'!$B$6:$B$1174,0)),"",(MATCH(A35,'liste reference'!$B$6:$B$1174,0))),(MATCH(A35,'liste reference'!$A$6:$A$1174,0)))</f>
        <v>695</v>
      </c>
    </row>
    <row r="36" customFormat="false" ht="12.75" hidden="false" customHeight="false" outlineLevel="0" collapsed="false">
      <c r="A36" s="490" t="s">
        <v>2170</v>
      </c>
      <c r="B36" s="491" t="n">
        <v>0.005</v>
      </c>
      <c r="C36" s="492" t="n">
        <v>0.005</v>
      </c>
      <c r="D36" s="493" t="str">
        <f aca="false">IF(ISERROR(VLOOKUP($A36,'liste reference'!$A$6:$B$1174,2,0)),IF(ISERROR(VLOOKUP($A36,'liste reference'!$B$6:$B$1174,1,0)),"",VLOOKUP($A36,'liste reference'!$B$6:$B$1174,1,0)),VLOOKUP($A36,'liste reference'!$A$6:$B$1174,2,0))</f>
        <v>Phalaris arundinacea</v>
      </c>
      <c r="E36" s="494" t="e">
        <f aca="false">IF(D36="",,VLOOKUP(D36,D$22:D35,1,0))</f>
        <v>#N/A</v>
      </c>
      <c r="F36" s="495" t="n">
        <f aca="false">IF(AND(OR(A36="",A36="!!!!!!"),B36="",C36=""),"",IF(OR(AND(B36="",C36=""),ISERROR(C36+B36)),"!!!",($B36*$B$7+$C36*$C$7)/100))</f>
        <v>0.005</v>
      </c>
      <c r="G36" s="496" t="str">
        <f aca="false">IF(A36="","",IF(ISERROR(VLOOKUP($A36,'liste reference'!$A$6:$Q$1174,9,0)),IF(ISERROR(VLOOKUP($A36,'liste reference'!$B$6:$Q$1174,8,0)),"    -",VLOOKUP($A36,'liste reference'!$B$6:$Q$1174,8,0)),VLOOKUP($A36,'liste reference'!$A$6:$Q$1174,9,0)))</f>
        <v>PHe</v>
      </c>
      <c r="H36" s="497" t="n">
        <f aca="false">IF(A36="","x",IF(ISERROR(VLOOKUP($A36,'liste reference'!$A$6:$Q$1174,10,0)),IF(ISERROR(VLOOKUP($A36,'liste reference'!$B$6:$Q$1174,9,0)),"x",VLOOKUP($A36,'liste reference'!$B$6:$Q$1174,9,0)),VLOOKUP($A36,'liste reference'!$A$6:$Q$1174,10,0)))</f>
        <v>8</v>
      </c>
      <c r="I36" s="285" t="n">
        <f aca="false">IF(A36="","",1)</f>
        <v>1</v>
      </c>
      <c r="J36" s="498" t="n">
        <f aca="false">IF(ISNUMBER($H36),IF(ISERROR(VLOOKUP($A36,'liste reference'!$A$6:$Q$1174,6,0)),IF(ISERROR(VLOOKUP($A36,'liste reference'!$B$6:$Q$1174,5,0)),"nu",VLOOKUP($A36,'liste reference'!$B$6:$Q$1174,5,0)),VLOOKUP($A36,'liste reference'!$A$6:$Q$1174,6,0)),"nu")</f>
        <v>10</v>
      </c>
      <c r="K36" s="498" t="n">
        <f aca="false">IF(ISNUMBER($H36),IF(ISERROR(VLOOKUP($A36,'liste reference'!$A$6:$Q$1174,7,0)),IF(ISERROR(VLOOKUP($A36,'liste reference'!$B$6:$Q$1174,6,0)),"nu",VLOOKUP($A36,'liste reference'!$B$6:$Q$1174,6,0)),VLOOKUP($A36,'liste reference'!$A$6:$Q$1174,7,0)),"nu")</f>
        <v>1</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Phalaris arundinacea</v>
      </c>
      <c r="M36" s="499"/>
      <c r="N36" s="499"/>
      <c r="O36" s="499"/>
      <c r="P36" s="500" t="s">
        <v>3449</v>
      </c>
      <c r="Q36" s="501" t="n">
        <f aca="false">IF(OR($A36="NEWCOD",$A36="!!!!!!"),IF(X36="","NoCod",X36),IF($A36="","",IF(ISERROR(VLOOKUP($A36,'liste reference'!$A$6:$H$1174,8,FALSE())),IF(ISERROR(VLOOKUP($A36,'liste reference'!$B$6:$H$1174,7,FALSE())),"",VLOOKUP($A36,'liste reference'!$B$6:$H$1174,7,FALSE())),VLOOKUP($A36,'liste reference'!$A$6:$H$1174,8,FALSE()))))</f>
        <v>1577</v>
      </c>
      <c r="R36" s="486" t="n">
        <f aca="false">IF(ISTEXT(H36),"",(B36*$B$7/100)+(C36*$C$7/100))</f>
        <v>0.005</v>
      </c>
      <c r="S36" s="487" t="n">
        <f aca="false">IF(OR(ISTEXT(H36),R36=0),"",IF(R36&lt;0.1,1,IF(R36&lt;1,2,IF(R36&lt;10,3,IF(R36&lt;50,4,IF(R36&gt;=50,5,""))))))</f>
        <v>1</v>
      </c>
      <c r="T36" s="487" t="n">
        <f aca="false">IF(ISERROR(S36*J36),0,S36*J36)</f>
        <v>10</v>
      </c>
      <c r="U36" s="487" t="n">
        <f aca="false">IF(ISERROR(S36*J36*K36),0,S36*J36*K36)</f>
        <v>10</v>
      </c>
      <c r="V36" s="502" t="n">
        <f aca="false">IF(ISERROR(S36*K36),0,S36*K36)</f>
        <v>1</v>
      </c>
      <c r="W36" s="503"/>
      <c r="X36" s="504"/>
      <c r="Y36" s="487" t="str">
        <f aca="false">IF(AND(ISNUMBER(F36),OR(A36="",A36="!!!!!!")),"!!!!!!",IF(A36="new.cod","NEWCOD",IF(AND((Z36=""),ISTEXT(A36),A36&lt;&gt;"!!!!!!"),A36,IF(Z36="","",INDEX('liste reference'!$A$6:$A$1174,Z36)))))</f>
        <v>PHAARU</v>
      </c>
      <c r="Z36" s="472" t="n">
        <f aca="false">IF(ISERROR(MATCH(A36,'liste reference'!$A$6:$A$1174,0)),IF(ISERROR(MATCH(A36,'liste reference'!$B$6:$B$1174,0)),"",(MATCH(A36,'liste reference'!$B$6:$B$1174,0))),(MATCH(A36,'liste reference'!$A$6:$A$1174,0)))</f>
        <v>707</v>
      </c>
    </row>
    <row r="37" customFormat="false" ht="12.75" hidden="false" customHeight="false" outlineLevel="0" collapsed="false">
      <c r="A37" s="490" t="s">
        <v>2236</v>
      </c>
      <c r="B37" s="491" t="n">
        <v>0.005</v>
      </c>
      <c r="C37" s="492"/>
      <c r="D37" s="493" t="str">
        <f aca="false">IF(ISERROR(VLOOKUP($A37,'liste reference'!$A$6:$B$1174,2,0)),IF(ISERROR(VLOOKUP($A37,'liste reference'!$B$6:$B$1174,1,0)),"",VLOOKUP($A37,'liste reference'!$B$6:$B$1174,1,0)),VLOOKUP($A37,'liste reference'!$A$6:$B$1174,2,0))</f>
        <v>Scirpus sylvaticus</v>
      </c>
      <c r="E37" s="494" t="e">
        <f aca="false">IF(D37="",,VLOOKUP(D37,D$22:D36,1,0))</f>
        <v>#N/A</v>
      </c>
      <c r="F37" s="495" t="n">
        <f aca="false">IF(AND(OR(A37="",A37="!!!!!!"),B37="",C37=""),"",IF(OR(AND(B37="",C37=""),ISERROR(C37+B37)),"!!!",($B37*$B$7+$C37*$C$7)/100))</f>
        <v>0.00375</v>
      </c>
      <c r="G37" s="496" t="str">
        <f aca="false">IF(A37="","",IF(ISERROR(VLOOKUP($A37,'liste reference'!$A$6:$Q$1174,9,0)),IF(ISERROR(VLOOKUP($A37,'liste reference'!$B$6:$Q$1174,8,0)),"    -",VLOOKUP($A37,'liste reference'!$B$6:$Q$1174,8,0)),VLOOKUP($A37,'liste reference'!$A$6:$Q$1174,9,0)))</f>
        <v>PHe</v>
      </c>
      <c r="H37" s="497" t="n">
        <f aca="false">IF(A37="","x",IF(ISERROR(VLOOKUP($A37,'liste reference'!$A$6:$Q$1174,10,0)),IF(ISERROR(VLOOKUP($A37,'liste reference'!$B$6:$Q$1174,9,0)),"x",VLOOKUP($A37,'liste reference'!$B$6:$Q$1174,9,0)),VLOOKUP($A37,'liste reference'!$A$6:$Q$1174,10,0)))</f>
        <v>8</v>
      </c>
      <c r="I37" s="285" t="n">
        <f aca="false">IF(A37="","",1)</f>
        <v>1</v>
      </c>
      <c r="J37" s="498" t="n">
        <f aca="false">IF(ISNUMBER($H37),IF(ISERROR(VLOOKUP($A37,'liste reference'!$A$6:$Q$1174,6,0)),IF(ISERROR(VLOOKUP($A37,'liste reference'!$B$6:$Q$1174,5,0)),"nu",VLOOKUP($A37,'liste reference'!$B$6:$Q$1174,5,0)),VLOOKUP($A37,'liste reference'!$A$6:$Q$1174,6,0)),"nu")</f>
        <v>10</v>
      </c>
      <c r="K37" s="498" t="n">
        <f aca="false">IF(ISNUMBER($H37),IF(ISERROR(VLOOKUP($A37,'liste reference'!$A$6:$Q$1174,7,0)),IF(ISERROR(VLOOKUP($A37,'liste reference'!$B$6:$Q$1174,6,0)),"nu",VLOOKUP($A37,'liste reference'!$B$6:$Q$1174,6,0)),VLOOKUP($A37,'liste reference'!$A$6:$Q$1174,7,0)),"nu")</f>
        <v>2</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Scirpus sylvaticus</v>
      </c>
      <c r="M37" s="499"/>
      <c r="N37" s="499"/>
      <c r="O37" s="499"/>
      <c r="P37" s="500" t="s">
        <v>3449</v>
      </c>
      <c r="Q37" s="501" t="n">
        <f aca="false">IF(OR($A37="NEWCOD",$A37="!!!!!!"),IF(X37="","NoCod",X37),IF($A37="","",IF(ISERROR(VLOOKUP($A37,'liste reference'!$A$6:$H$1174,8,FALSE())),IF(ISERROR(VLOOKUP($A37,'liste reference'!$B$6:$H$1174,7,FALSE())),"",VLOOKUP($A37,'liste reference'!$B$6:$H$1174,7,FALSE())),VLOOKUP($A37,'liste reference'!$A$6:$H$1174,8,FALSE()))))</f>
        <v>1525</v>
      </c>
      <c r="R37" s="486" t="n">
        <f aca="false">IF(ISTEXT(H37),"",(B37*$B$7/100)+(C37*$C$7/100))</f>
        <v>0.00375</v>
      </c>
      <c r="S37" s="487" t="n">
        <f aca="false">IF(OR(ISTEXT(H37),R37=0),"",IF(R37&lt;0.1,1,IF(R37&lt;1,2,IF(R37&lt;10,3,IF(R37&lt;50,4,IF(R37&gt;=50,5,""))))))</f>
        <v>1</v>
      </c>
      <c r="T37" s="487" t="n">
        <f aca="false">IF(ISERROR(S37*J37),0,S37*J37)</f>
        <v>10</v>
      </c>
      <c r="U37" s="487" t="n">
        <f aca="false">IF(ISERROR(S37*J37*K37),0,S37*J37*K37)</f>
        <v>20</v>
      </c>
      <c r="V37" s="502" t="n">
        <f aca="false">IF(ISERROR(S37*K37),0,S37*K37)</f>
        <v>2</v>
      </c>
      <c r="W37" s="503"/>
      <c r="X37" s="504"/>
      <c r="Y37" s="487" t="str">
        <f aca="false">IF(AND(ISNUMBER(F37),OR(A37="",A37="!!!!!!")),"!!!!!!",IF(A37="new.cod","NEWCOD",IF(AND((Z37=""),ISTEXT(A37),A37&lt;&gt;"!!!!!!"),A37,IF(Z37="","",INDEX('liste reference'!$A$6:$A$1174,Z37)))))</f>
        <v>SCISYL</v>
      </c>
      <c r="Z37" s="472" t="n">
        <f aca="false">IF(ISERROR(MATCH(A37,'liste reference'!$A$6:$A$1174,0)),IF(ISERROR(MATCH(A37,'liste reference'!$B$6:$B$1174,0)),"",(MATCH(A37,'liste reference'!$B$6:$B$1174,0))),(MATCH(A37,'liste reference'!$A$6:$A$1174,0)))</f>
        <v>730</v>
      </c>
    </row>
    <row r="38" customFormat="false" ht="12.75" hidden="false" customHeight="false" outlineLevel="0" collapsed="false">
      <c r="A38" s="490" t="s">
        <v>2240</v>
      </c>
      <c r="B38" s="491"/>
      <c r="C38" s="492" t="n">
        <v>1</v>
      </c>
      <c r="D38" s="493" t="str">
        <f aca="false">IF(ISERROR(VLOOKUP($A38,'liste reference'!$A$6:$B$1174,2,0)),IF(ISERROR(VLOOKUP($A38,'liste reference'!$B$6:$B$1174,1,0)),"",VLOOKUP($A38,'liste reference'!$B$6:$B$1174,1,0)),VLOOKUP($A38,'liste reference'!$A$6:$B$1174,2,0))</f>
        <v>Sparganium erectum</v>
      </c>
      <c r="E38" s="494" t="e">
        <f aca="false">IF(D38="",,VLOOKUP(D38,D$22:D37,1,0))</f>
        <v>#N/A</v>
      </c>
      <c r="F38" s="495" t="n">
        <f aca="false">IF(AND(OR(A38="",A38="!!!!!!"),B38="",C38=""),"",IF(OR(AND(B38="",C38=""),ISERROR(C38+B38)),"!!!",($B38*$B$7+$C38*$C$7)/100))</f>
        <v>0.25</v>
      </c>
      <c r="G38" s="496" t="str">
        <f aca="false">IF(A38="","",IF(ISERROR(VLOOKUP($A38,'liste reference'!$A$6:$Q$1174,9,0)),IF(ISERROR(VLOOKUP($A38,'liste reference'!$B$6:$Q$1174,8,0)),"    -",VLOOKUP($A38,'liste reference'!$B$6:$Q$1174,8,0)),VLOOKUP($A38,'liste reference'!$A$6:$Q$1174,9,0)))</f>
        <v>PHe</v>
      </c>
      <c r="H38" s="497" t="n">
        <f aca="false">IF(A38="","x",IF(ISERROR(VLOOKUP($A38,'liste reference'!$A$6:$Q$1174,10,0)),IF(ISERROR(VLOOKUP($A38,'liste reference'!$B$6:$Q$1174,9,0)),"x",VLOOKUP($A38,'liste reference'!$B$6:$Q$1174,9,0)),VLOOKUP($A38,'liste reference'!$A$6:$Q$1174,10,0)))</f>
        <v>8</v>
      </c>
      <c r="I38" s="285" t="n">
        <f aca="false">IF(A38="","",1)</f>
        <v>1</v>
      </c>
      <c r="J38" s="498" t="n">
        <f aca="false">IF(ISNUMBER($H38),IF(ISERROR(VLOOKUP($A38,'liste reference'!$A$6:$Q$1174,6,0)),IF(ISERROR(VLOOKUP($A38,'liste reference'!$B$6:$Q$1174,5,0)),"nu",VLOOKUP($A38,'liste reference'!$B$6:$Q$1174,5,0)),VLOOKUP($A38,'liste reference'!$A$6:$Q$1174,6,0)),"nu")</f>
        <v>10</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Sparganium erectum</v>
      </c>
      <c r="M38" s="499"/>
      <c r="N38" s="499"/>
      <c r="O38" s="499"/>
      <c r="P38" s="500" t="s">
        <v>3449</v>
      </c>
      <c r="Q38" s="501" t="n">
        <f aca="false">IF(OR($A38="NEWCOD",$A38="!!!!!!"),IF(X38="","NoCod",X38),IF($A38="","",IF(ISERROR(VLOOKUP($A38,'liste reference'!$A$6:$H$1174,8,FALSE())),IF(ISERROR(VLOOKUP($A38,'liste reference'!$B$6:$H$1174,7,FALSE())),"",VLOOKUP($A38,'liste reference'!$B$6:$H$1174,7,FALSE())),VLOOKUP($A38,'liste reference'!$A$6:$H$1174,8,FALSE()))))</f>
        <v>1671</v>
      </c>
      <c r="R38" s="486" t="n">
        <f aca="false">IF(ISTEXT(H38),"",(B38*$B$7/100)+(C38*$C$7/100))</f>
        <v>0.25</v>
      </c>
      <c r="S38" s="487" t="n">
        <f aca="false">IF(OR(ISTEXT(H38),R38=0),"",IF(R38&lt;0.1,1,IF(R38&lt;1,2,IF(R38&lt;10,3,IF(R38&lt;50,4,IF(R38&gt;=50,5,""))))))</f>
        <v>2</v>
      </c>
      <c r="T38" s="487" t="n">
        <f aca="false">IF(ISERROR(S38*J38),0,S38*J38)</f>
        <v>20</v>
      </c>
      <c r="U38" s="487" t="n">
        <f aca="false">IF(ISERROR(S38*J38*K38),0,S38*J38*K38)</f>
        <v>20</v>
      </c>
      <c r="V38" s="502" t="n">
        <f aca="false">IF(ISERROR(S38*K38),0,S38*K38)</f>
        <v>2</v>
      </c>
      <c r="W38" s="503"/>
      <c r="X38" s="504"/>
      <c r="Y38" s="487" t="str">
        <f aca="false">IF(AND(ISNUMBER(F38),OR(A38="",A38="!!!!!!")),"!!!!!!",IF(A38="new.cod","NEWCOD",IF(AND((Z38=""),ISTEXT(A38),A38&lt;&gt;"!!!!!!"),A38,IF(Z38="","",INDEX('liste reference'!$A$6:$A$1174,Z38)))))</f>
        <v>SPAERE</v>
      </c>
      <c r="Z38" s="472" t="n">
        <f aca="false">IF(ISERROR(MATCH(A38,'liste reference'!$A$6:$A$1174,0)),IF(ISERROR(MATCH(A38,'liste reference'!$B$6:$B$1174,0)),"",(MATCH(A38,'liste reference'!$B$6:$B$1174,0))),(MATCH(A38,'liste reference'!$A$6:$A$1174,0)))</f>
        <v>732</v>
      </c>
    </row>
    <row r="39" customFormat="false" ht="12.75" hidden="false" customHeight="false" outlineLevel="0" collapsed="false">
      <c r="A39" s="490" t="s">
        <v>2634</v>
      </c>
      <c r="B39" s="491" t="n">
        <v>0.005</v>
      </c>
      <c r="C39" s="492"/>
      <c r="D39" s="493" t="str">
        <f aca="false">IF(ISERROR(VLOOKUP($A39,'liste reference'!$A$6:$B$1174,2,0)),IF(ISERROR(VLOOKUP($A39,'liste reference'!$B$6:$B$1174,1,0)),"",VLOOKUP($A39,'liste reference'!$B$6:$B$1174,1,0)),VLOOKUP($A39,'liste reference'!$A$6:$B$1174,2,0))</f>
        <v>Juncus sp.</v>
      </c>
      <c r="E39" s="494" t="e">
        <f aca="false">IF(D39="",,VLOOKUP(D39,D$22:D38,1,0))</f>
        <v>#N/A</v>
      </c>
      <c r="F39" s="495" t="n">
        <f aca="false">IF(AND(OR(A39="",A39="!!!!!!"),B39="",C39=""),"",IF(OR(AND(B39="",C39=""),ISERROR(C39+B39)),"!!!",($B39*$B$7+$C39*$C$7)/100))</f>
        <v>0.00375</v>
      </c>
      <c r="G39" s="496" t="str">
        <f aca="false">IF(A39="","",IF(ISERROR(VLOOKUP($A39,'liste reference'!$A$6:$Q$1174,9,0)),IF(ISERROR(VLOOKUP($A39,'liste reference'!$B$6:$Q$1174,8,0)),"    -",VLOOKUP($A39,'liste reference'!$B$6:$Q$1174,8,0)),VLOOKUP($A39,'liste reference'!$A$6:$Q$1174,9,0)))</f>
        <v>PHg</v>
      </c>
      <c r="H39" s="497" t="n">
        <f aca="false">IF(A39="","x",IF(ISERROR(VLOOKUP($A39,'liste reference'!$A$6:$Q$1174,10,0)),IF(ISERROR(VLOOKUP($A39,'liste reference'!$B$6:$Q$1174,9,0)),"x",VLOOKUP($A39,'liste reference'!$B$6:$Q$1174,9,0)),VLOOKUP($A39,'liste reference'!$A$6:$Q$1174,10,0)))</f>
        <v>9</v>
      </c>
      <c r="I39" s="285" t="n">
        <f aca="false">IF(A39="","",1)</f>
        <v>1</v>
      </c>
      <c r="J39" s="498" t="str">
        <f aca="false">IF(ISNUMBER($H39),IF(ISERROR(VLOOKUP($A39,'liste reference'!$A$6:$Q$1174,6,0)),IF(ISERROR(VLOOKUP($A39,'liste reference'!$B$6:$Q$1174,5,0)),"nu",VLOOKUP($A39,'liste reference'!$B$6:$Q$1174,5,0)),VLOOKUP($A39,'liste reference'!$A$6:$Q$1174,6,0)),"nu")</f>
        <v>nc</v>
      </c>
      <c r="K39" s="498" t="str">
        <f aca="false">IF(ISNUMBER($H39),IF(ISERROR(VLOOKUP($A39,'liste reference'!$A$6:$Q$1174,7,0)),IF(ISERROR(VLOOKUP($A39,'liste reference'!$B$6:$Q$1174,6,0)),"nu",VLOOKUP($A39,'liste reference'!$B$6:$Q$1174,6,0)),VLOOKUP($A39,'liste reference'!$A$6:$Q$1174,7,0)),"nu")</f>
        <v>nc</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Juncus sp.</v>
      </c>
      <c r="M39" s="499"/>
      <c r="N39" s="499"/>
      <c r="O39" s="499"/>
      <c r="P39" s="500" t="s">
        <v>3449</v>
      </c>
      <c r="Q39" s="501" t="n">
        <f aca="false">IF(OR($A39="NEWCOD",$A39="!!!!!!"),IF(X39="","NoCod",X39),IF($A39="","",IF(ISERROR(VLOOKUP($A39,'liste reference'!$A$6:$H$1174,8,FALSE())),IF(ISERROR(VLOOKUP($A39,'liste reference'!$B$6:$H$1174,7,FALSE())),"",VLOOKUP($A39,'liste reference'!$B$6:$H$1174,7,FALSE())),VLOOKUP($A39,'liste reference'!$A$6:$H$1174,8,FALSE()))))</f>
        <v>1606</v>
      </c>
      <c r="R39" s="486" t="n">
        <f aca="false">IF(ISTEXT(H39),"",(B39*$B$7/100)+(C39*$C$7/100))</f>
        <v>0.00375</v>
      </c>
      <c r="S39" s="487" t="n">
        <f aca="false">IF(OR(ISTEXT(H39),R39=0),"",IF(R39&lt;0.1,1,IF(R39&lt;1,2,IF(R39&lt;10,3,IF(R39&lt;50,4,IF(R39&gt;=50,5,""))))))</f>
        <v>1</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JUNSPX</v>
      </c>
      <c r="Z39" s="472" t="n">
        <f aca="false">IF(ISERROR(MATCH(A39,'liste reference'!$A$6:$A$1174,0)),IF(ISERROR(MATCH(A39,'liste reference'!$B$6:$B$1174,0)),"",(MATCH(A39,'liste reference'!$B$6:$B$1174,0))),(MATCH(A39,'liste reference'!$A$6:$A$1174,0)))</f>
        <v>881</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3.92375</v>
      </c>
      <c r="G83" s="425"/>
      <c r="H83" s="425"/>
      <c r="I83" s="425"/>
      <c r="J83" s="425"/>
      <c r="K83" s="425"/>
      <c r="L83" s="425"/>
      <c r="M83" s="487"/>
      <c r="N83" s="487"/>
      <c r="O83" s="487"/>
      <c r="P83" s="487"/>
      <c r="Q83" s="487"/>
      <c r="R83" s="487"/>
      <c r="S83" s="487"/>
      <c r="T83" s="487"/>
      <c r="U83" s="487"/>
      <c r="V83" s="487" t="n">
        <f aca="false">SUM(V23:V82)</f>
        <v>31</v>
      </c>
      <c r="W83" s="487"/>
      <c r="X83" s="524"/>
      <c r="Y83" s="524"/>
      <c r="Z83" s="525"/>
    </row>
    <row r="84" customFormat="false" ht="12.75" hidden="true" customHeight="false" outlineLevel="0" collapsed="false">
      <c r="A84" s="519" t="str">
        <f aca="false">A3</f>
        <v>RUISSEAU DE L'EPIE</v>
      </c>
      <c r="B84" s="454" t="str">
        <f aca="false">C3</f>
        <v>L'EPIE AU NIVEAU D'ORADOUR</v>
      </c>
      <c r="C84" s="526" t="str">
        <f aca="false">A4</f>
        <v>(Date)</v>
      </c>
      <c r="D84" s="527" t="n">
        <f aca="false">IF(OR(ISERROR(SUM($U$23:$U$82)/SUM($V$23:$V$82)),F7&lt;&gt;100),-1,SUM($U$23:$U$82)/SUM($V$23:$V$82))</f>
        <v>12.5483870967742</v>
      </c>
      <c r="E84" s="528" t="n">
        <f aca="false">O13</f>
        <v>17</v>
      </c>
      <c r="F84" s="454" t="n">
        <f aca="false">O14</f>
        <v>14</v>
      </c>
      <c r="G84" s="454" t="n">
        <f aca="false">O15</f>
        <v>7</v>
      </c>
      <c r="H84" s="454" t="n">
        <f aca="false">O16</f>
        <v>7</v>
      </c>
      <c r="I84" s="454" t="n">
        <f aca="false">O17</f>
        <v>0</v>
      </c>
      <c r="J84" s="529" t="n">
        <f aca="false">O8</f>
        <v>11.8571428571429</v>
      </c>
      <c r="K84" s="530" t="n">
        <f aca="false">O9</f>
        <v>2.0303814862217</v>
      </c>
      <c r="L84" s="531" t="n">
        <f aca="false">O10</f>
        <v>9</v>
      </c>
      <c r="M84" s="531" t="n">
        <f aca="false">O11</f>
        <v>15</v>
      </c>
      <c r="N84" s="530" t="n">
        <f aca="false">P8</f>
        <v>1.5</v>
      </c>
      <c r="O84" s="530" t="n">
        <f aca="false">P9</f>
        <v>0.5</v>
      </c>
      <c r="P84" s="531" t="n">
        <f aca="false">P10</f>
        <v>1</v>
      </c>
      <c r="Q84" s="531" t="n">
        <f aca="false">P11</f>
        <v>2</v>
      </c>
      <c r="R84" s="531" t="n">
        <f aca="false">F21</f>
        <v>3.92375</v>
      </c>
      <c r="S84" s="531" t="n">
        <f aca="false">L11</f>
        <v>0</v>
      </c>
      <c r="T84" s="531" t="n">
        <f aca="false">L12</f>
        <v>8</v>
      </c>
      <c r="U84" s="531" t="n">
        <f aca="false">L13</f>
        <v>4</v>
      </c>
      <c r="V84" s="532" t="n">
        <f aca="false">L15</f>
        <v>5</v>
      </c>
      <c r="W84" s="533" t="n">
        <f aca="false">L15</f>
        <v>5</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45</v>
      </c>
      <c r="U87" s="285"/>
      <c r="V87" s="285"/>
    </row>
    <row r="88" customFormat="false" ht="12.75" hidden="true" customHeight="false" outlineLevel="0" collapsed="false">
      <c r="C88" s="535"/>
      <c r="D88" s="535"/>
      <c r="E88" s="535"/>
      <c r="R88" s="285" t="s">
        <v>3452</v>
      </c>
      <c r="S88" s="285"/>
      <c r="T88" s="537" t="n">
        <f aca="false">VLOOKUP($T$91,($A$23:$U$82),21,FALSE())</f>
        <v>90</v>
      </c>
      <c r="U88" s="285"/>
      <c r="V88" s="285" t="n">
        <f aca="false">COUNTIF(V23:V82,T89)</f>
        <v>1</v>
      </c>
    </row>
    <row r="89" customFormat="false" ht="12.75" hidden="true" customHeight="false" outlineLevel="0" collapsed="false">
      <c r="C89" s="535"/>
      <c r="D89" s="535"/>
      <c r="E89" s="535"/>
      <c r="R89" s="285" t="s">
        <v>3453</v>
      </c>
      <c r="S89" s="285"/>
      <c r="T89" s="537" t="n">
        <f aca="false">MAX($V$23:$V$82)</f>
        <v>6</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11.96</v>
      </c>
      <c r="U90" s="285" t="n">
        <f aca="false">IF(ISERROR(T90),0,1)</f>
        <v>1</v>
      </c>
    </row>
    <row r="91" customFormat="false" ht="12.75" hidden="true" customHeight="false" outlineLevel="0" collapsed="false">
      <c r="C91" s="535"/>
      <c r="D91" s="535"/>
      <c r="E91" s="535"/>
      <c r="R91" s="487" t="s">
        <v>3455</v>
      </c>
      <c r="S91" s="487"/>
      <c r="T91" s="487" t="str">
        <f aca="false">INDEX('liste reference'!$A$6:$A$1174,$U$91)</f>
        <v>HILSPX</v>
      </c>
      <c r="U91" s="285" t="n">
        <f aca="false">IF(ISERROR(MATCH($T$93,'liste reference'!$A$6:$A$1174,0)),MATCH($T$93,'liste reference'!$B$6:$B$1174,0),(MATCH($T$93,'liste reference'!$A$6:$A$1174,0)))</f>
        <v>53</v>
      </c>
      <c r="V91" s="525"/>
    </row>
    <row r="92" customFormat="false" ht="12.75" hidden="true" customHeight="false" outlineLevel="0" collapsed="false">
      <c r="C92" s="535"/>
      <c r="D92" s="535"/>
      <c r="E92" s="535"/>
      <c r="R92" s="285" t="s">
        <v>3456</v>
      </c>
      <c r="S92" s="285"/>
      <c r="T92" s="285" t="n">
        <f aca="false">MATCH(T89,$V$23:$V$82,0)</f>
        <v>2</v>
      </c>
      <c r="U92" s="285"/>
    </row>
    <row r="93" customFormat="false" ht="12.75" hidden="true" customHeight="false" outlineLevel="0" collapsed="false">
      <c r="C93" s="535"/>
      <c r="D93" s="535"/>
      <c r="E93" s="535"/>
      <c r="R93" s="487" t="s">
        <v>3457</v>
      </c>
      <c r="S93" s="285"/>
      <c r="T93" s="487" t="str">
        <f aca="false">INDEX($A$23:$A$82,$T$92)</f>
        <v>HILSPX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3394</v>
      </c>
      <c r="B7" s="344"/>
      <c r="C7" s="345"/>
      <c r="D7" s="333"/>
      <c r="E7" s="333"/>
      <c r="F7" s="346" t="n">
        <f aca="false">B7+C7</f>
        <v>0</v>
      </c>
      <c r="G7" s="347"/>
      <c r="H7" s="333"/>
      <c r="I7" s="285"/>
      <c r="J7" s="348"/>
      <c r="K7" s="349"/>
      <c r="L7" s="350"/>
      <c r="M7" s="351"/>
      <c r="N7" s="352"/>
      <c r="O7" s="353" t="s">
        <v>3395</v>
      </c>
      <c r="P7" s="354" t="s">
        <v>3396</v>
      </c>
      <c r="Q7" s="355"/>
      <c r="R7" s="285"/>
      <c r="S7" s="285"/>
      <c r="T7" s="285"/>
      <c r="U7" s="285"/>
      <c r="V7" s="285"/>
      <c r="W7" s="299"/>
    </row>
    <row r="8" customFormat="false" ht="12.75" hidden="false" customHeight="false" outlineLevel="0" collapsed="false">
      <c r="A8" s="319" t="s">
        <v>3397</v>
      </c>
      <c r="B8" s="319"/>
      <c r="C8" s="319"/>
      <c r="D8" s="333"/>
      <c r="E8" s="333"/>
      <c r="F8" s="356" t="s">
        <v>3398</v>
      </c>
      <c r="G8" s="357"/>
      <c r="H8" s="333"/>
      <c r="I8" s="285"/>
      <c r="J8" s="348"/>
      <c r="K8" s="349"/>
      <c r="L8" s="350"/>
      <c r="M8" s="351"/>
      <c r="N8" s="358" t="s">
        <v>3399</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3400</v>
      </c>
      <c r="B9" s="344"/>
      <c r="C9" s="345"/>
      <c r="D9" s="361"/>
      <c r="E9" s="361"/>
      <c r="F9" s="362" t="n">
        <f aca="false">($B9*$B$7+$C9*$C$7)/100</f>
        <v>0</v>
      </c>
      <c r="G9" s="363"/>
      <c r="H9" s="320"/>
      <c r="I9" s="285"/>
      <c r="J9" s="364"/>
      <c r="K9" s="365"/>
      <c r="L9" s="350"/>
      <c r="M9" s="366"/>
      <c r="N9" s="358" t="s">
        <v>3401</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3402</v>
      </c>
      <c r="B10" s="367"/>
      <c r="C10" s="368"/>
      <c r="D10" s="361"/>
      <c r="E10" s="361"/>
      <c r="F10" s="362"/>
      <c r="G10" s="363"/>
      <c r="H10" s="333"/>
      <c r="I10" s="285"/>
      <c r="J10" s="369"/>
      <c r="K10" s="370" t="s">
        <v>3404</v>
      </c>
      <c r="L10" s="371"/>
      <c r="M10" s="372"/>
      <c r="N10" s="358" t="s">
        <v>3405</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1</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0</v>
      </c>
      <c r="M13" s="382"/>
      <c r="N13" s="390" t="s">
        <v>3413</v>
      </c>
      <c r="O13" s="391" t="n">
        <f aca="false">COUNTIF(F23:F82,"&gt;0")</f>
        <v>0</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1</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0</v>
      </c>
      <c r="M15" s="382"/>
      <c r="N15" s="390" t="s">
        <v>3419</v>
      </c>
      <c r="O15" s="391" t="n">
        <f aca="false">COUNTIF(K23:K82,"=1")</f>
        <v>0</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1</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str">
        <f aca="false">IF(ISERROR((O13-(COUNTIF(J23:J82,"nc")))/O13),"-",(O13-(COUNTIF(J23:J82,"nc")))/O13)</f>
        <v>-</v>
      </c>
      <c r="N17" s="390" t="s">
        <v>3424</v>
      </c>
      <c r="O17" s="391" t="n">
        <f aca="false">COUNTIF(K23:K82,"=3")</f>
        <v>0</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0</v>
      </c>
      <c r="C20" s="434" t="n">
        <f aca="false">SUM(C23:C82)</f>
        <v>0</v>
      </c>
      <c r="D20" s="435"/>
      <c r="E20" s="436" t="s">
        <v>3426</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0</v>
      </c>
      <c r="C21" s="445" t="n">
        <f aca="false">C20*C7/100</f>
        <v>0</v>
      </c>
      <c r="D21" s="446" t="s">
        <v>3429</v>
      </c>
      <c r="E21" s="447"/>
      <c r="F21" s="448" t="n">
        <f aca="false">B21+C21</f>
        <v>0</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3449</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3449</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3449</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3449</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3449</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3449</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3449</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3449</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3449</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3449</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3449</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3449</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3449</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3449</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3449</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3449</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66" zoomScaleNormal="66"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5" activeCellId="0" sqref="A5"/>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3478</v>
      </c>
      <c r="G20" s="7"/>
      <c r="H20" s="574" t="s">
        <v>3478</v>
      </c>
      <c r="I20" s="575"/>
    </row>
    <row r="21" customFormat="false" ht="13.8" hidden="false" customHeight="false" outlineLevel="0" collapsed="false">
      <c r="A21" s="562"/>
      <c r="B21" s="565" t="s">
        <v>2318</v>
      </c>
      <c r="C21" s="566"/>
      <c r="D21" s="567"/>
      <c r="F21" s="574" t="s">
        <v>3479</v>
      </c>
      <c r="G21" s="7"/>
      <c r="H21" s="574" t="s">
        <v>3479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3486</v>
      </c>
    </row>
    <row r="32" customFormat="false" ht="13.8" hidden="false" customHeight="false" outlineLevel="0" collapsed="false">
      <c r="A32" s="562"/>
      <c r="B32" s="565" t="s">
        <v>2325</v>
      </c>
      <c r="C32" s="566"/>
      <c r="D32" s="567"/>
      <c r="F32" s="581" t="s">
        <v>3449</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3487</v>
      </c>
    </row>
    <row r="37" customFormat="false" ht="13.8" hidden="false" customHeight="false" outlineLevel="0" collapsed="false">
      <c r="A37" s="562"/>
      <c r="B37" s="565" t="s">
        <v>2979</v>
      </c>
      <c r="C37" s="566"/>
      <c r="D37" s="567"/>
      <c r="F37" s="580" t="s">
        <v>3488</v>
      </c>
    </row>
    <row r="38" customFormat="false" ht="13.8" hidden="false" customHeight="false" outlineLevel="0" collapsed="false">
      <c r="A38" s="562"/>
      <c r="B38" s="565" t="s">
        <v>2981</v>
      </c>
      <c r="C38" s="566"/>
      <c r="D38" s="567"/>
      <c r="F38" s="582" t="s">
        <v>3403</v>
      </c>
    </row>
    <row r="39" customFormat="false" ht="13.8" hidden="false" customHeight="false" outlineLevel="0" collapsed="false">
      <c r="A39" s="562"/>
      <c r="B39" s="565" t="s">
        <v>2983</v>
      </c>
      <c r="C39" s="566"/>
      <c r="D39" s="567"/>
      <c r="F39" s="582" t="s">
        <v>3489</v>
      </c>
    </row>
    <row r="40" customFormat="false" ht="13.8" hidden="false" customHeight="false" outlineLevel="0" collapsed="false">
      <c r="A40" s="562"/>
      <c r="B40" s="565" t="s">
        <v>624</v>
      </c>
      <c r="C40" s="566"/>
      <c r="D40" s="567"/>
      <c r="F40" s="582" t="s">
        <v>3490</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3491</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3492</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3493</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3494</v>
      </c>
    </row>
    <row r="1188" customFormat="false" ht="13.8" hidden="false" customHeight="false" outlineLevel="0" collapsed="false">
      <c r="A1188" s="562"/>
      <c r="B1188" s="565" t="s">
        <v>3495</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3496</v>
      </c>
    </row>
    <row r="1229" customFormat="false" ht="13.8" hidden="false" customHeight="false" outlineLevel="0" collapsed="false">
      <c r="A1229" s="562"/>
      <c r="B1229" s="565" t="s">
        <v>3497</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Geoffroy Seveno</cp:lastModifiedBy>
  <cp:lastPrinted>2015-05-20T10:23:22Z</cp:lastPrinted>
  <dcterms:modified xsi:type="dcterms:W3CDTF">2017-02-17T14:15:06Z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