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096810" sheetId="6" state="visible" r:id="rId8"/>
    <sheet name="jgjg" sheetId="7" state="hidden" r:id="rId9"/>
    <sheet name="liste codes réf" sheetId="8" state="hidden" r:id="rId10"/>
  </sheets>
  <definedNames>
    <definedName function="false" hidden="false" localSheetId="5" name="_xlnm.Print_Area" vbProcedure="false">'05096810'!$A$1:$Q$82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'05096810'!$A$1:$Q$82</definedName>
    <definedName function="false" hidden="false" localSheetId="5" name="_xlnm__FilterDatabase" vbProcedure="false">'05096810'!$A$1:$C$1415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<sst xmlns="http://schemas.openxmlformats.org/spreadsheetml/2006/main" count="8835" uniqueCount="3497">
  <si>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</si>
  <si>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</si>
  <si>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</si>
  <si>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</si>
  <si>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</si>
  <si>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</si>
  <si>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</si>
  <si>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</si>
  <si>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</si>
  <si>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</si>
  <si>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</si>
  <si>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</si>
  <si>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</si>
  <si>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</si>
  <si>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</si>
  <si>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</si>
  <si>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</si>
  <si>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</si>
  <si>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</si>
  <si>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</si>
  <si>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</si>
  <si>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</si>
  <si>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</si>
  <si>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</si>
  <si>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</si>
  <si>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</si>
  <si>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</si>
  <si>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</si>
  <si>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</si>
  <si>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</si>
  <si>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</si>
  <si>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</si>
  <si>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</si>
  <si>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</si>
  <si>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</si>
  <si>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</si>
  <si>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</si>
  <si>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</si>
  <si>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</si>
  <si>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</si>
  <si>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</si>
  <si>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</si>
  <si>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</si>
  <si>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</si>
  <si>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</si>
  <si>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</si>
  <si>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</si>
  <si>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</si>
  <si>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</si>
  <si>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</si>
  <si>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</si>
  <si>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</si>
  <si>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</si>
  <si>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</si>
  <si>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</si>
  <si>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</si>
  <si>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</si>
  <si>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</si>
  <si>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</si>
  <si>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</si>
  <si>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</si>
  <si>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</si>
  <si>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</si>
  <si>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</si>
  <si>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</si>
  <si>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</si>
  <si>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</si>
  <si>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</si>
  <si>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</si>
  <si>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</si>
  <si>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</si>
  <si>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</si>
  <si>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</si>
  <si>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</si>
  <si>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</si>
  <si>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</si>
  <si>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</si>
  <si>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</si>
  <si>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</si>
  <si>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</si>
  <si>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</si>
  <si>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</si>
  <si>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</si>
  <si>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</si>
  <si>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</si>
  <si>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</si>
  <si>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</si>
  <si>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</si>
  <si>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</si>
  <si>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</si>
  <si>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</si>
  <si>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</si>
  <si>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</si>
  <si>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</si>
  <si>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</si>
  <si>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</si>
  <si>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</si>
  <si>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</si>
  <si>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</si>
  <si>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</si>
  <si>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</si>
  <si>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</si>
  <si>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</si>
  <si>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</si>
  <si>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</si>
  <si>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</si>
  <si>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</si>
  <si>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</si>
  <si>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</si>
  <si>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</si>
  <si>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</si>
  <si>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</si>
  <si>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</si>
  <si>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</si>
  <si>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</si>
  <si>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</si>
  <si>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</si>
  <si>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</si>
  <si>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</si>
  <si>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</si>
  <si>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</si>
  <si>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</si>
  <si>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</si>
  <si>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</si>
  <si>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</si>
  <si>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</si>
  <si>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</si>
  <si>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</si>
  <si>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</si>
  <si>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</si>
  <si>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</si>
  <si>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</si>
  <si>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</si>
  <si>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</si>
  <si>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</si>
  <si>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</si>
  <si>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</si>
  <si>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</si>
  <si>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</si>
  <si>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</si>
  <si>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</si>
  <si>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</si>
  <si>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</si>
  <si>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</si>
  <si>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</si>
  <si>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</si>
  <si>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</si>
  <si>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</si>
  <si>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</si>
  <si>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</si>
  <si>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</si>
  <si>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</si>
  <si>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</si>
  <si>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</si>
  <si>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</si>
  <si>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</si>
  <si>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</si>
  <si>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</si>
  <si>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</si>
  <si>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</si>
  <si>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</si>
  <si>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</si>
  <si>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</si>
  <si>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</si>
  <si>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</si>
  <si>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</si>
  <si>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</si>
  <si>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</si>
  <si>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</si>
  <si>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</si>
  <si>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</si>
  <si>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</si>
  <si>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</si>
  <si>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</si>
  <si>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</si>
  <si>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</si>
  <si>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</si>
  <si>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</si>
  <si>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</si>
  <si>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</si>
  <si>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</si>
  <si>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</si>
  <si>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</si>
  <si>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</si>
  <si>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</si>
  <si>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</si>
  <si>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</si>
  <si>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</si>
  <si>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</si>
  <si>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</si>
  <si>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</si>
  <si>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</si>
  <si>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</si>
  <si>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</si>
  <si>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</si>
  <si>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</si>
  <si>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</si>
  <si>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</si>
  <si>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</si>
  <si>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</si>
  <si>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</si>
  <si>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</si>
  <si>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</si>
  <si>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</si>
  <si>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</si>
  <si>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</si>
  <si>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</si>
  <si>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</si>
  <si>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</si>
  <si>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</si>
  <si>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</si>
  <si>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</si>
  <si>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</si>
  <si>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</si>
  <si>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</si>
  <si>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</si>
  <si>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</si>
  <si>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</si>
  <si>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</si>
  <si>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</si>
  <si>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</si>
  <si>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</si>
  <si>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</si>
  <si>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</si>
  <si>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</si>
  <si>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</si>
  <si>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</si>
  <si>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</si>
  <si>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</si>
  <si>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</si>
  <si>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</si>
  <si>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</si>
  <si>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</si>
  <si>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</si>
  <si>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</si>
  <si>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</si>
  <si>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</si>
  <si>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</si>
  <si>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</si>
  <si>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</si>
  <si>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</si>
  <si>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</si>
  <si>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</si>
  <si>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</si>
  <si>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</si>
  <si>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</si>
  <si>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</si>
  <si>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</si>
  <si>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</si>
  <si>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</si>
  <si>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</si>
  <si>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</si>
  <si>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</si>
  <si>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</si>
  <si>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</si>
  <si>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</si>
  <si>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</si>
  <si>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</si>
  <si>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</si>
  <si>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</si>
  <si>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</si>
  <si>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</si>
  <si>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</si>
  <si>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</si>
  <si>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</si>
  <si>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</si>
  <si>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</si>
  <si>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</si>
  <si>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</si>
  <si>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</si>
  <si>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</si>
  <si>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</si>
  <si>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</si>
  <si>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</si>
  <si>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</si>
  <si>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</si>
  <si>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</si>
  <si>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</si>
  <si>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</si>
  <si>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</si>
  <si>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</si>
  <si>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</si>
  <si>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</si>
  <si>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</si>
  <si>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</si>
  <si>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</si>
  <si>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</si>
  <si>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</si>
  <si>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</si>
  <si>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</si>
  <si>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</si>
  <si>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</si>
  <si>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</si>
  <si>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</si>
  <si>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</si>
  <si>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</si>
  <si>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</si>
  <si>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</si>
  <si>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</si>
  <si>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</si>
  <si>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</si>
  <si>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</si>
  <si>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</si>
  <si>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</si>
  <si>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</si>
  <si>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</si>
  <si>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</si>
  <si>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</si>
  <si>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</si>
  <si>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</si>
  <si>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</si>
  <si>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</si>
  <si>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</si>
  <si>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</si>
  <si>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</si>
  <si>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</si>
  <si>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</si>
  <si>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</si>
  <si>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</si>
  <si>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</si>
  <si>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</si>
  <si>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</si>
  <si>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</si>
  <si>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</si>
  <si>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</si>
  <si>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</si>
  <si>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</si>
  <si>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</si>
  <si>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</si>
  <si>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</si>
  <si>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</si>
  <si>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</si>
  <si>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</si>
  <si>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</si>
  <si>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</si>
  <si>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</si>
  <si>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</si>
  <si>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</si>
  <si>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</si>
  <si>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</si>
  <si>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</si>
  <si>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</si>
  <si>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</si>
  <si>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</si>
  <si>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</si>
  <si>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</si>
  <si>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</si>
  <si>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</si>
  <si>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</si>
  <si>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</si>
  <si>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</si>
  <si>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</si>
  <si>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</si>
  <si>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</si>
  <si>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</si>
  <si>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</si>
  <si>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</si>
  <si>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</si>
  <si>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</si>
  <si>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</si>
  <si>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</si>
  <si>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</si>
  <si>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</si>
  <si>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</si>
  <si>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</si>
  <si>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</si>
  <si>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</si>
  <si>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</si>
  <si>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</si>
  <si>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</si>
  <si>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</si>
  <si>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</si>
  <si>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</si>
  <si>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</si>
  <si>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</si>
  <si>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</si>
  <si>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</si>
  <si>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</si>
  <si>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</si>
  <si>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</si>
  <si>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</si>
  <si>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</si>
  <si>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</si>
  <si>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</si>
  <si>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</si>
  <si>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</si>
  <si>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</si>
  <si>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</si>
  <si>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</si>
  <si>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</si>
  <si>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</si>
  <si>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</si>
  <si>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</si>
  <si>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</si>
  <si>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</si>
  <si>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</si>
  <si>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</si>
  <si>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</si>
  <si>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</si>
  <si>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</si>
  <si>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</si>
  <si>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</si>
  <si>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</si>
  <si>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</si>
  <si>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</si>
  <si>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</si>
  <si>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</si>
  <si>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</si>
  <si>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</si>
  <si>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</si>
  <si>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</si>
  <si>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</si>
  <si>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</si>
  <si>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</si>
  <si>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</si>
  <si>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</si>
  <si>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</si>
  <si>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</si>
  <si>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</si>
  <si>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</si>
  <si>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</si>
  <si>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</si>
  <si>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</si>
  <si>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</si>
  <si>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</si>
  <si>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</si>
  <si>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</si>
  <si>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</si>
  <si>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</si>
  <si>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</si>
  <si>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</si>
  <si>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</si>
  <si>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</si>
  <si>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</si>
  <si>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</si>
  <si>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</si>
  <si>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</si>
  <si>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</si>
  <si>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</si>
  <si>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</si>
  <si>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</si>
  <si>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</si>
  <si>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</si>
  <si>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</si>
  <si>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</si>
  <si>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</si>
  <si>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</si>
  <si>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</si>
  <si>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</si>
  <si>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</si>
  <si>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</si>
  <si>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</si>
  <si>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</si>
  <si>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</si>
  <si>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</si>
  <si>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</si>
  <si>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</si>
  <si>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</si>
  <si>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</si>
  <si>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</si>
  <si>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</si>
  <si>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</si>
  <si>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</si>
  <si>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</si>
  <si>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</si>
  <si>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</si>
  <si>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</si>
  <si>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</si>
  <si>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</si>
  <si>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</si>
  <si>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</si>
  <si>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</si>
  <si>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</si>
  <si>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</si>
  <si>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</si>
  <si>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</si>
  <si>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</si>
  <si>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</si>
  <si>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</si>
  <si>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</si>
  <si>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</si>
  <si>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</si>
  <si>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</si>
  <si>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</si>
  <si>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</si>
  <si>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</si>
  <si>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</si>
  <si>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</si>
  <si>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</si>
  <si>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</si>
  <si>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</si>
  <si>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</si>
  <si>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</si>
  <si>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</si>
  <si>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</si>
  <si>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</si>
  <si>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</si>
  <si>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</si>
  <si>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</si>
  <si>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</si>
  <si>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</si>
  <si>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</si>
  <si>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</si>
  <si>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</si>
  <si>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</si>
  <si>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</si>
  <si>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</si>
  <si>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</si>
  <si>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</si>
  <si>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</si>
  <si>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</si>
  <si>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</si>
  <si>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</si>
  <si>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</si>
  <si>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</si>
  <si>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</si>
  <si>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</si>
  <si>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</si>
  <si>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</si>
  <si>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</si>
  <si>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</si>
  <si>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</si>
  <si>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</si>
  <si>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</si>
  <si>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</si>
  <si>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</si>
  <si>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</si>
  <si>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</si>
  <si>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</si>
  <si>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</si>
  <si>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</si>
  <si>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</si>
  <si>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</si>
  <si>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</si>
  <si>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</si>
  <si>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</si>
  <si>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</si>
  <si>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</si>
  <si>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</si>
  <si>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</si>
  <si>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</si>
  <si>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</si>
  <si>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</si>
  <si>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</si>
  <si>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</si>
  <si>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</si>
  <si>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</si>
  <si>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</si>
  <si>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</si>
  <si>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</si>
  <si>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</si>
  <si>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</si>
  <si>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</si>
  <si>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</si>
  <si>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</si>
  <si>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</si>
  <si>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</si>
  <si>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</si>
  <si>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</si>
  <si>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</si>
  <si>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</si>
  <si>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</si>
  <si>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</si>
  <si>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</si>
  <si>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</si>
  <si>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</si>
  <si>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</si>
  <si>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</si>
  <si>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</si>
  <si>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</si>
  <si>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</si>
  <si>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</si>
  <si>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</si>
  <si>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</si>
  <si>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</si>
  <si>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</si>
  <si>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</si>
  <si>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</si>
  <si>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</si>
  <si>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</si>
  <si>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</si>
  <si>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</si>
  <si>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</si>
  <si>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</si>
  <si>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</si>
  <si>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</si>
  <si>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</si>
  <si>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</si>
  <si>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</si>
  <si>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</si>
  <si>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</si>
  <si>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</si>
  <si>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</si>
  <si>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</si>
  <si>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</si>
  <si>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</si>
  <si>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</si>
  <si>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</si>
  <si>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</si>
  <si>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</si>
  <si>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</si>
  <si>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</si>
  <si>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</si>
  <si>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</si>
  <si>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</si>
  <si>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</si>
  <si>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</si>
  <si>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</si>
  <si>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</si>
  <si>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</si>
  <si>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</si>
  <si>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</si>
  <si>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</si>
  <si>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</si>
  <si>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</si>
  <si>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</si>
  <si>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</si>
  <si>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</si>
  <si>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</si>
  <si>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</si>
  <si>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</si>
  <si>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</si>
  <si>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</si>
  <si>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</si>
  <si>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</si>
  <si>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</si>
  <si>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</si>
  <si>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</si>
  <si>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</si>
  <si>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</si>
  <si>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</si>
  <si>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</si>
  <si>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</si>
  <si>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</si>
  <si>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</si>
  <si>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</si>
  <si>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</si>
  <si>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</si>
  <si>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</si>
  <si>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</si>
  <si>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</si>
  <si>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</si>
  <si>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</si>
  <si>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</si>
  <si>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</si>
  <si>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</si>
  <si>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</si>
  <si>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</si>
  <si>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</si>
  <si>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</si>
  <si>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</si>
  <si>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</si>
  <si>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</si>
  <si>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</si>
  <si>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</si>
  <si>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</si>
  <si>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</si>
  <si>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</si>
  <si>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</si>
  <si>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</si>
  <si>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</si>
  <si>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</si>
  <si>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</si>
  <si>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</si>
  <si>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</si>
  <si>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</si>
  <si>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</si>
  <si>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</si>
  <si>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</si>
  <si>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</si>
  <si>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</si>
  <si>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</si>
  <si>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</si>
  <si>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</si>
  <si>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</si>
  <si>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</si>
  <si>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</si>
  <si>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</si>
  <si>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</si>
  <si>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</si>
  <si>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</si>
  <si>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</si>
  <si>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</si>
  <si>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</si>
  <si>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</si>
  <si>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</si>
  <si>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</si>
  <si>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</si>
  <si>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</si>
  <si>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</si>
  <si>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</si>
  <si>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</si>
  <si>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</si>
  <si>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</si>
  <si>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</si>
  <si>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</si>
  <si>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</si>
  <si>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</si>
  <si>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</si>
  <si>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</si>
  <si>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</si>
  <si>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</si>
  <si>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</si>
  <si>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</si>
  <si>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</si>
  <si>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</si>
  <si>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</si>
  <si>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</si>
  <si>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</si>
  <si>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</si>
  <si>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</si>
  <si>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</si>
  <si>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</si>
  <si>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</si>
  <si>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</si>
  <si>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</si>
  <si>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</si>
  <si>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</si>
  <si>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</si>
  <si>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</si>
  <si>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</si>
  <si>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</si>
  <si>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</si>
  <si>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</si>
  <si>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</si>
  <si>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</si>
  <si>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</si>
  <si>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</si>
  <si>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</si>
  <si>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</si>
  <si>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</si>
  <si>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</si>
  <si>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</si>
  <si>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</si>
  <si>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</si>
  <si>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</si>
  <si>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</si>
  <si>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</si>
  <si>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</si>
  <si>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</si>
  <si>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</si>
  <si>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</si>
  <si>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</si>
  <si>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</si>
  <si>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</si>
  <si>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</si>
  <si>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</si>
  <si>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</si>
  <si>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</si>
  <si>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</si>
  <si>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</si>
  <si>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</si>
  <si>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</si>
  <si>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</si>
  <si>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</si>
  <si>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</si>
  <si>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</si>
  <si>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</si>
  <si>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</si>
  <si>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</si>
  <si>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</si>
  <si>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</si>
  <si>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</si>
  <si>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</si>
  <si>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</si>
  <si>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</si>
  <si>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</si>
  <si>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</si>
  <si>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</si>
  <si>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</si>
  <si>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</si>
  <si>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</si>
  <si>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</si>
  <si>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</si>
  <si>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</si>
  <si>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</si>
  <si>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</si>
  <si>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</si>
  <si>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</si>
  <si>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</si>
  <si>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</si>
  <si>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</si>
  <si>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</si>
  <si>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</si>
  <si>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</si>
  <si>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</si>
  <si>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</si>
  <si>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</si>
  <si>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</si>
  <si>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</si>
  <si>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</si>
  <si>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</si>
  <si>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</si>
  <si>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</si>
  <si>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</si>
  <si>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</si>
  <si>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</si>
  <si>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</si>
  <si>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</si>
  <si>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</si>
  <si>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</si>
  <si>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</si>
  <si>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</si>
  <si>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</si>
  <si>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</si>
  <si>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</si>
  <si>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</si>
  <si>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</si>
  <si>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</si>
  <si>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</si>
  <si>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</si>
  <si>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</si>
  <si>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</si>
  <si>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</si>
  <si>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</si>
  <si>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</si>
  <si>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</si>
  <si>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</si>
  <si>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</si>
  <si>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</si>
  <si>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</si>
  <si>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</si>
  <si>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</si>
  <si>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</si>
  <si>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</si>
  <si>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</si>
  <si>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</si>
  <si>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</si>
  <si>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</si>
  <si>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</si>
  <si>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</si>
  <si>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</si>
  <si>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</si>
  <si>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</si>
  <si>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</si>
  <si>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</si>
  <si>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</si>
  <si>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</si>
  <si>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</si>
  <si>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</si>
  <si>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</si>
  <si>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</si>
  <si>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</si>
  <si>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</si>
  <si>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</si>
  <si>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</si>
  <si>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</si>
  <si>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</si>
  <si>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</si>
  <si>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</si>
  <si>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</si>
  <si>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</si>
  <si>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</si>
  <si>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</si>
  <si>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</si>
  <si>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</si>
  <si>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</si>
  <si>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</si>
  <si>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</si>
  <si>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</si>
  <si>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</si>
  <si>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</si>
  <si>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</si>
  <si>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</si>
  <si>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</si>
  <si>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</si>
  <si>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</si>
  <si>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</si>
  <si>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</si>
  <si>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</si>
  <si>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</si>
  <si>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</si>
  <si>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</si>
  <si>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</si>
  <si>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</si>
  <si>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</si>
  <si>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</si>
  <si>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</si>
  <si>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</si>
  <si>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</si>
  <si>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</si>
  <si>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</si>
  <si>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</si>
  <si>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</si>
  <si>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</si>
  <si>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</si>
  <si>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</si>
  <si>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</si>
  <si>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</si>
  <si>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</si>
  <si>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</si>
  <si>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</si>
  <si>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</si>
  <si>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</si>
  <si>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</si>
  <si>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</si>
  <si>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</si>
  <si>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</si>
  <si>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</si>
  <si>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</si>
  <si>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</si>
  <si>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</si>
  <si>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</si>
  <si>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</si>
  <si>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</si>
  <si>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</si>
  <si>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</si>
  <si>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</si>
  <si>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</si>
  <si>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</si>
  <si>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</si>
  <si>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</si>
  <si>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</si>
  <si>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</si>
  <si>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</si>
  <si>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</si>
  <si>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</si>
  <si>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</si>
  <si>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</si>
  <si>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</si>
  <si>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</si>
  <si>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</si>
  <si>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</si>
  <si>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</si>
  <si>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</si>
  <si>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</si>
  <si>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</si>
  <si>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</si>
  <si>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</si>
  <si>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</si>
  <si>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</si>
  <si>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</si>
  <si>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</si>
  <si>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</si>
  <si>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</si>
  <si>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</si>
  <si>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</si>
  <si>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</si>
  <si>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</si>
  <si>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</si>
  <si>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</si>
  <si>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</si>
  <si>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</si>
  <si>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</si>
  <si>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</si>
  <si>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</si>
  <si>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</si>
  <si>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</si>
  <si>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</si>
  <si>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</si>
  <si>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</si>
  <si>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</si>
  <si>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</si>
  <si>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</si>
  <si>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</si>
  <si>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</si>
  <si>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</si>
  <si>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</si>
  <si>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</si>
  <si>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</si>
  <si>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</si>
  <si>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</si>
  <si>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</si>
  <si>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</si>
  <si>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</si>
  <si>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</si>
  <si>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</si>
  <si>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</si>
  <si>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</si>
  <si>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</si>
  <si>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</si>
  <si>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</si>
  <si>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</si>
  <si>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</si>
  <si>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</si>
  <si>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</si>
  <si>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</si>
  <si>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</si>
  <si>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</si>
  <si>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</si>
  <si>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</si>
  <si>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</si>
  <si>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</si>
  <si>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</si>
  <si>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</si>
  <si>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</si>
  <si>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</si>
  <si>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</si>
  <si>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</si>
  <si>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</si>
  <si>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</si>
  <si>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</si>
  <si>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</si>
  <si>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</si>
  <si>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</si>
  <si>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</si>
  <si>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</si>
  <si>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</si>
  <si>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</si>
  <si>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</si>
  <si>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</si>
  <si>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</si>
  <si>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</si>
  <si>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</si>
  <si>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</si>
  <si>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</si>
  <si>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</si>
  <si>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</si>
  <si>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</si>
  <si>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</si>
  <si>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</si>
  <si>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</si>
  <si>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</si>
  <si>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</si>
  <si>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</si>
  <si>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</si>
  <si>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</si>
  <si>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</si>
  <si>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</si>
  <si>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</si>
  <si>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</si>
  <si>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</si>
  <si>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</si>
  <si>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</si>
  <si>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</si>
  <si>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</si>
  <si>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</si>
  <si>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</si>
  <si>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</si>
  <si>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</si>
  <si>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</si>
  <si>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</si>
  <si>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</si>
  <si>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</si>
  <si>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</si>
  <si>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</si>
  <si>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</si>
  <si>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</si>
  <si>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</si>
  <si>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</si>
  <si>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</si>
  <si>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</si>
  <si>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</si>
  <si>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</si>
  <si>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</si>
  <si>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</si>
  <si>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</si>
  <si>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</si>
  <si>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</si>
  <si>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</si>
  <si>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</si>
  <si>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</si>
  <si>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</si>
  <si>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</si>
  <si>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</si>
  <si>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</si>
  <si>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</si>
  <si>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</si>
  <si>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</si>
  <si>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</si>
  <si>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</si>
  <si>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</si>
  <si>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</si>
  <si>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</si>
  <si>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</si>
  <si>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</si>
  <si>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</si>
  <si>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</si>
  <si>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</si>
  <si>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</si>
  <si>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</si>
  <si>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</si>
  <si>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</si>
  <si>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</si>
  <si>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</si>
  <si>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</si>
  <si>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</si>
  <si>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</si>
  <si>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</si>
  <si>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</si>
  <si>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</si>
  <si>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</si>
  <si>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</si>
  <si>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</si>
  <si>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</si>
  <si>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</si>
  <si>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</si>
  <si>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</si>
  <si>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</si>
  <si>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</si>
  <si>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</si>
  <si>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</si>
  <si>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</si>
  <si>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</si>
  <si>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</si>
  <si>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</si>
  <si>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</si>
  <si>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</si>
  <si>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</si>
  <si>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</si>
  <si>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</si>
  <si>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</si>
  <si>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</si>
  <si>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</si>
  <si>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</si>
  <si>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</si>
  <si>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</si>
  <si>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</si>
  <si>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</si>
  <si>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</si>
  <si>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</si>
  <si>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</si>
  <si>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</si>
  <si>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</si>
  <si>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</si>
  <si>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</si>
  <si>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</si>
  <si>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</si>
  <si>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</si>
  <si>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</si>
  <si>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</si>
  <si>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</si>
  <si>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</si>
  <si>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</si>
  <si>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</si>
  <si>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</si>
  <si>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</si>
  <si>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</si>
  <si>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</si>
  <si>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</si>
  <si>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</si>
  <si>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</si>
  <si>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</si>
  <si>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</si>
  <si>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</si>
  <si>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</si>
  <si>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</si>
  <si>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</si>
  <si>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</si>
  <si>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</si>
  <si>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</si>
  <si>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</si>
  <si>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</si>
  <si>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</si>
  <si>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</si>
  <si>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</si>
  <si>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</si>
  <si>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</si>
  <si>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</si>
  <si>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</si>
  <si>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</si>
  <si>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</si>
  <si>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</si>
  <si>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</si>
  <si>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</si>
  <si>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</si>
  <si>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</si>
  <si>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</si>
  <si>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</si>
  <si>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</si>
  <si>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</si>
  <si>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</si>
  <si>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</si>
  <si>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</si>
  <si>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</si>
  <si>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</si>
  <si>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</si>
  <si>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</si>
  <si>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</si>
  <si>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</si>
  <si>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</si>
  <si>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</si>
  <si>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</si>
  <si>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</si>
  <si>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</si>
  <si>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</si>
  <si>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</si>
  <si>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</si>
  <si>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</si>
  <si>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</si>
  <si>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</si>
  <si>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</si>
  <si>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</si>
  <si>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</si>
  <si>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</si>
  <si>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</si>
  <si>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</si>
  <si>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</si>
  <si>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</si>
  <si>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</si>
  <si>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</si>
  <si>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</si>
  <si>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</si>
  <si>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</si>
  <si>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</si>
  <si>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</si>
  <si>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</si>
  <si>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</si>
  <si>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</si>
  <si>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</si>
  <si>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</si>
  <si>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</si>
  <si>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</si>
  <si>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</si>
  <si>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</si>
  <si>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</si>
  <si>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</si>
  <si>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</si>
  <si>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</si>
  <si>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</si>
  <si>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</si>
  <si>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</si>
  <si>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</si>
  <si>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</si>
  <si>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</si>
  <si>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</si>
  <si>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</si>
  <si>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</si>
  <si>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</si>
  <si>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</si>
  <si>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</si>
  <si>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</si>
  <si>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</si>
  <si>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</si>
  <si>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</si>
  <si>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</si>
  <si>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</si>
  <si>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</si>
  <si>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</si>
  <si>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</si>
  <si>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</si>
  <si>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</si>
  <si>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</si>
  <si>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</si>
  <si>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</si>
  <si>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</si>
  <si>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</si>
  <si>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</si>
  <si>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</si>
  <si>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</si>
  <si>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</si>
  <si>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</si>
  <si>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</si>
  <si>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</si>
  <si>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</si>
  <si>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</si>
  <si>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</si>
  <si>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</si>
  <si>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</si>
  <si>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</si>
  <si>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</si>
  <si>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</si>
  <si>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</si>
  <si>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</si>
  <si>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</si>
  <si>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</si>
  <si>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</si>
  <si>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</si>
  <si>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</si>
  <si>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</si>
  <si>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</si>
  <si>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</si>
  <si>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</si>
  <si>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</si>
  <si>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</si>
  <si>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</si>
  <si>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</si>
  <si>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</si>
  <si>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</si>
  <si>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</si>
  <si>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</si>
  <si>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</si>
  <si>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</si>
  <si>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</si>
  <si>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</si>
  <si>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</si>
  <si>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</si>
  <si>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</si>
  <si>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</si>
  <si>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</si>
  <si>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</si>
  <si>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</si>
  <si>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</si>
  <si>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</si>
  <si>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</si>
  <si>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</si>
  <si>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</si>
  <si>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</si>
  <si>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</si>
  <si>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</si>
  <si>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</si>
  <si>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</si>
  <si>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</si>
  <si>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</si>
  <si>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</si>
  <si>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</si>
  <si>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</si>
  <si>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</si>
  <si>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</si>
  <si>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</si>
  <si>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</si>
  <si>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</si>
  <si>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</si>
  <si>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</si>
  <si>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</si>
  <si>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</si>
  <si>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</si>
  <si>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</si>
  <si>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</si>
  <si>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</si>
  <si>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</si>
  <si>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</si>
  <si>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</si>
  <si>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</si>
  <si>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</si>
  <si>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</si>
  <si>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</si>
  <si>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</si>
  <si>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</si>
  <si>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</si>
  <si>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</si>
  <si>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</si>
  <si>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</si>
  <si>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</si>
  <si>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</si>
  <si>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</si>
  <si>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</si>
  <si>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</si>
  <si>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</si>
  <si>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</si>
  <si>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</si>
  <si>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</si>
  <si>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</si>
  <si>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</si>
  <si>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</si>
  <si>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</si>
  <si>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</si>
  <si>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</si>
  <si>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</si>
  <si>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</si>
  <si>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</si>
  <si>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</si>
  <si>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</si>
  <si>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</si>
  <si>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</si>
  <si>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</si>
  <si>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</si>
  <si>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</si>
  <si>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</si>
  <si>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</si>
  <si>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</si>
  <si>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</si>
  <si>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</si>
  <si>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</si>
  <si>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</si>
  <si>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</si>
  <si>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</si>
  <si>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</si>
  <si>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</si>
  <si>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</si>
  <si>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</si>
  <si>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</si>
  <si>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</si>
  <si>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</si>
  <si>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</si>
  <si>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</si>
  <si>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</si>
  <si>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</si>
  <si>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</si>
  <si>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</si>
  <si>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</si>
  <si>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</si>
  <si>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</si>
  <si>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</si>
  <si>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</si>
  <si>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</si>
  <si>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</si>
  <si>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</si>
  <si>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</si>
  <si>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</si>
  <si>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</si>
  <si>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</si>
  <si>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</si>
  <si>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</si>
  <si>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</si>
  <si>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</si>
  <si>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</si>
  <si>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</si>
  <si>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</si>
  <si>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</si>
  <si>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</si>
  <si>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</si>
  <si>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</si>
  <si>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</si>
  <si>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</si>
  <si>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</si>
  <si>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</si>
  <si>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</si>
  <si>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</si>
  <si>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</si>
  <si>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</si>
  <si>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</si>
  <si>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</si>
  <si>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</si>
  <si>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</si>
  <si>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</si>
  <si>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</si>
  <si>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</si>
  <si>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</si>
  <si>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</si>
  <si>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</si>
  <si>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</si>
  <si>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</si>
  <si>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</si>
  <si>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</si>
  <si>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</si>
  <si>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</si>
  <si>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</si>
  <si>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</si>
  <si>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</si>
  <si>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</si>
  <si>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</si>
  <si>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</si>
  <si>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</si>
  <si>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</si>
  <si>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</si>
  <si>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</si>
  <si>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</si>
  <si>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</si>
  <si>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</si>
  <si>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</si>
  <si>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</si>
  <si>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</si>
  <si>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</si>
  <si>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</si>
  <si>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</si>
  <si>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</si>
  <si>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</si>
  <si>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</si>
  <si>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</si>
  <si>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</si>
  <si>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</si>
  <si>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</si>
  <si>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</si>
  <si>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</si>
  <si>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</si>
  <si>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</si>
  <si>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</si>
  <si>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</si>
  <si>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</si>
  <si>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</si>
  <si>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</si>
  <si>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</si>
  <si>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</si>
  <si>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</si>
  <si>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</si>
  <si>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</si>
  <si>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</si>
  <si>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</si>
  <si>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</si>
  <si>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</si>
  <si>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</si>
  <si>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</si>
  <si>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</si>
  <si>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</si>
  <si>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</si>
  <si>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</si>
  <si>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</si>
  <si>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</si>
  <si>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</si>
  <si>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</si>
  <si>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</si>
  <si>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</si>
  <si>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</si>
  <si>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</si>
  <si>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</si>
  <si>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</si>
  <si>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</si>
  <si>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</si>
  <si>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</si>
  <si>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</si>
  <si>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</si>
  <si>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</si>
  <si>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</si>
  <si>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</si>
  <si>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</si>
  <si>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</si>
  <si>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</si>
  <si>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</si>
  <si>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</si>
  <si>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</si>
  <si>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</si>
  <si>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</si>
  <si>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</si>
  <si>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</si>
  <si>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</si>
  <si>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</si>
  <si>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</si>
  <si>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</si>
  <si>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</si>
  <si>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</si>
  <si>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</si>
  <si>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</si>
  <si>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</si>
  <si>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</si>
  <si>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</si>
  <si>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</si>
  <si>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</si>
  <si>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</si>
  <si>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</si>
  <si>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</si>
  <si>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</si>
  <si>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</si>
  <si>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</si>
  <si>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</si>
  <si>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</si>
  <si>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</si>
  <si>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</si>
  <si>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</si>
  <si>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</si>
  <si>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</si>
  <si>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</si>
  <si>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</si>
  <si>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</si>
  <si>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</si>
  <si>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</si>
  <si>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</si>
  <si>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</si>
  <si>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</si>
  <si>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</si>
  <si>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</si>
  <si>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</si>
  <si>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</si>
  <si>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</si>
  <si>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</si>
  <si>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</si>
  <si>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</si>
  <si>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</si>
  <si>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</si>
  <si>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</si>
  <si>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</si>
  <si>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</si>
  <si>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</si>
  <si>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</si>
  <si>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</si>
  <si>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</si>
  <si>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</si>
  <si>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</si>
  <si>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</si>
  <si>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</si>
  <si>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</si>
  <si>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</si>
  <si>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</si>
  <si>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</si>
  <si>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</si>
  <si>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</si>
  <si>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</si>
  <si>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</si>
  <si>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</si>
  <si>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</si>
  <si>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</si>
  <si>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</si>
  <si>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</si>
  <si>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</si>
  <si>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</si>
  <si>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</si>
  <si>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</si>
  <si>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</si>
  <si>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</si>
  <si>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</si>
  <si>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</si>
  <si>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</si>
  <si>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</si>
  <si>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</si>
  <si>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</si>
  <si>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</si>
  <si>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</si>
  <si>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</si>
  <si>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</si>
  <si>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</si>
  <si>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</si>
  <si>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</si>
  <si>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</si>
  <si>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</si>
  <si>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</si>
  <si>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</si>
  <si>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</si>
  <si>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</si>
  <si>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</si>
  <si>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</si>
  <si>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</si>
  <si>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</si>
  <si>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</si>
  <si>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</si>
  <si>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</si>
  <si>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</si>
  <si>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</si>
  <si>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</si>
  <si>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</si>
  <si>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</si>
  <si>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</si>
  <si>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</si>
  <si>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</si>
  <si>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</si>
  <si>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</si>
  <si>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</si>
  <si>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</si>
  <si>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</si>
  <si>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</si>
  <si>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</si>
  <si>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</si>
  <si>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</si>
  <si>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</si>
  <si>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</si>
  <si>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</si>
  <si>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</si>
  <si>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</si>
  <si>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</si>
  <si>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</si>
  <si>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</si>
  <si>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</si>
  <si>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</si>
  <si>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</si>
  <si>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</si>
  <si>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</si>
  <si>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</si>
  <si>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</si>
  <si>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</si>
  <si>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</si>
  <si>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</si>
  <si>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</si>
  <si>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</si>
  <si>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</si>
  <si>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</si>
  <si>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</si>
  <si>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</si>
  <si>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</si>
  <si>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</si>
  <si>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</si>
  <si>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</si>
  <si>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</si>
  <si>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</si>
  <si>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</si>
  <si>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</si>
  <si>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</si>
  <si>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</si>
  <si>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</si>
  <si>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</si>
  <si>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</si>
  <si>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</si>
  <si>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</si>
  <si>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</si>
  <si>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</si>
  <si>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</si>
  <si>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</si>
  <si>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</si>
  <si>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</si>
  <si>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</si>
  <si>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</si>
  <si>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</si>
  <si>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</si>
  <si>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</si>
  <si>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</si>
  <si>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</si>
  <si>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</si>
  <si>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</si>
  <si>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</si>
  <si>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</si>
  <si>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</si>
  <si>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</si>
  <si>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</si>
  <si>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</si>
  <si>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</si>
  <si>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</si>
  <si>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</si>
  <si>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</si>
  <si>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</si>
  <si>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</si>
  <si>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</si>
  <si>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</si>
  <si>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</si>
  <si>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</si>
  <si>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</si>
  <si>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</si>
  <si>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</si>
  <si>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</si>
  <si>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</si>
  <si>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</si>
  <si>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</si>
  <si>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</si>
  <si>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</si>
  <si>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</si>
  <si>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</si>
  <si>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</si>
  <si>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</si>
  <si>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</si>
  <si>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</si>
  <si>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</si>
  <si>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</si>
  <si>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</si>
  <si>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</si>
  <si>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</si>
  <si>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</si>
  <si>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</si>
  <si>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</si>
  <si>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</si>
  <si>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</si>
  <si>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</si>
  <si>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</si>
  <si>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</si>
  <si>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</si>
  <si>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</si>
  <si>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</si>
  <si>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</si>
  <si>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</si>
  <si>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</si>
  <si>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</si>
  <si>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</si>
  <si>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</si>
  <si>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</si>
  <si>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</si>
  <si>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</si>
  <si>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</si>
  <si>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</si>
  <si>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</si>
  <si>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</si>
  <si>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</si>
  <si>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</si>
  <si>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</si>
  <si>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</si>
  <si>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</si>
  <si>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</si>
  <si>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</si>
  <si>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</si>
  <si>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</si>
  <si>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</si>
  <si>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</si>
  <si>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</si>
  <si>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</si>
  <si>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</si>
  <si>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</si>
  <si>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</si>
  <si>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</si>
  <si>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</si>
  <si>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</si>
  <si>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</si>
  <si>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</si>
  <si>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</si>
  <si>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</si>
  <si>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</si>
  <si>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</si>
  <si>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</si>
  <si>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</si>
  <si>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</si>
  <si>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</si>
  <si>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</si>
  <si>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</si>
  <si>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</si>
  <si>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</si>
  <si>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</si>
  <si>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</si>
  <si>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</si>
  <si>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</si>
  <si>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</si>
  <si>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</si>
  <si>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</si>
  <si>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</si>
  <si>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</si>
  <si>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</si>
  <si>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</si>
  <si>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</si>
  <si>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</si>
  <si>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</si>
  <si>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</si>
  <si>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</si>
  <si>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</si>
  <si>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</si>
  <si>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</si>
  <si>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</si>
  <si>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</si>
  <si>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</si>
  <si>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</si>
  <si>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</si>
  <si>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</si>
  <si>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</si>
  <si>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</si>
  <si>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</si>
  <si>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</si>
  <si>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</si>
  <si>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</si>
  <si>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</si>
  <si>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</si>
  <si>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</si>
  <si>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</si>
  <si>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</si>
  <si>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</si>
  <si>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</si>
  <si>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</si>
  <si>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</si>
  <si>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</si>
  <si>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</si>
  <si>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</si>
  <si>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</si>
  <si>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</si>
  <si>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</si>
  <si>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</si>
  <si>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</si>
  <si>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</si>
  <si>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</si>
  <si>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</si>
  <si>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</si>
  <si>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</si>
  <si>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</si>
  <si>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</si>
  <si>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</si>
  <si>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</si>
  <si>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</si>
  <si>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</si>
  <si>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</si>
  <si>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</si>
  <si>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</si>
  <si>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</si>
  <si>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</si>
  <si>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</si>
  <si>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</si>
  <si>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</si>
  <si>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</si>
  <si>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</si>
  <si>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</si>
  <si>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</si>
  <si>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</si>
  <si>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</si>
  <si>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</si>
  <si>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</si>
  <si>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</si>
  <si>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</si>
  <si>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</si>
  <si>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</si>
  <si>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</si>
  <si>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</si>
  <si>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</si>
  <si>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</si>
  <si>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</si>
  <si>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</si>
  <si>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</si>
  <si>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</si>
  <si>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</si>
  <si>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</si>
  <si>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</si>
  <si>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</si>
  <si>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</si>
  <si>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</si>
  <si>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</si>
  <si>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</si>
  <si>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</si>
  <si>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</si>
  <si>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</si>
  <si>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</si>
  <si>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</si>
  <si>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</si>
  <si>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</si>
  <si>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</si>
  <si>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</si>
  <si>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</si>
  <si>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</si>
  <si>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</si>
  <si>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</si>
  <si>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</si>
  <si>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</si>
  <si>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</si>
  <si>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</si>
  <si>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</si>
  <si>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</si>
  <si>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</si>
  <si>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</si>
  <si>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</si>
  <si>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</si>
  <si>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</si>
  <si>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</si>
  <si>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</si>
  <si>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</si>
  <si>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</si>
  <si>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</si>
  <si>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</si>
  <si>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</si>
  <si>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</si>
  <si>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</si>
  <si>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</si>
  <si>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</si>
  <si>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</si>
  <si>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</si>
  <si>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</si>
  <si>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</si>
  <si>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</si>
  <si>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</si>
  <si>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</si>
  <si>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</si>
  <si>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</si>
  <si>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</si>
  <si>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</si>
  <si>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</si>
  <si>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</si>
  <si>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</si>
  <si>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</si>
  <si>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</si>
  <si>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</si>
  <si>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</si>
  <si>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</si>
  <si>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</si>
  <si>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</si>
  <si>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</si>
  <si>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</si>
  <si>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</si>
  <si>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</si>
  <si>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</si>
  <si>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</si>
  <si>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</si>
  <si>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</si>
  <si>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</si>
  <si>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</si>
  <si>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</si>
  <si>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</si>
  <si>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</si>
  <si>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</si>
  <si>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</si>
  <si>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</si>
  <si>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</si>
  <si>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</si>
  <si>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</si>
  <si>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</si>
  <si>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</si>
  <si>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</si>
  <si>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</si>
  <si>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</si>
  <si>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</si>
  <si>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</si>
  <si>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</si>
  <si>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</si>
  <si>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</si>
  <si>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</si>
  <si>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</si>
  <si>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</si>
  <si>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</si>
  <si>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</si>
  <si>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</si>
  <si>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</si>
  <si>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</si>
  <si>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</si>
  <si>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</si>
  <si>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</si>
  <si>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</si>
  <si>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</si>
  <si>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</si>
  <si>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</si>
  <si>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</si>
  <si>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</si>
  <si>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</si>
  <si>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</si>
  <si>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</si>
  <si>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</si>
  <si>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</si>
  <si>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</si>
  <si>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</si>
  <si>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</si>
  <si>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</si>
  <si>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</si>
  <si>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</si>
  <si>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</si>
  <si>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</si>
  <si>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</si>
  <si>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</si>
  <si>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</si>
  <si>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</si>
  <si>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</si>
  <si>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</si>
  <si>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</si>
  <si>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</si>
  <si>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</si>
  <si>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</si>
  <si>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</si>
  <si>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</si>
  <si>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</si>
  <si>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</si>
  <si>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</si>
  <si>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</si>
  <si>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</si>
  <si>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</si>
  <si>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</si>
  <si>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</si>
  <si>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</si>
  <si>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</si>
  <si>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</si>
  <si>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</si>
  <si>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</si>
  <si>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</si>
  <si>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</si>
  <si>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</si>
  <si>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</si>
  <si>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</si>
  <si>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</si>
  <si>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</si>
  <si>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</si>
  <si>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</si>
  <si>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</si>
  <si>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</si>
  <si>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</si>
  <si>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</si>
  <si>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</si>
  <si>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</si>
  <si>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</si>
  <si>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</si>
  <si>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</si>
  <si>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</si>
  <si>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</si>
  <si>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</si>
  <si>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</si>
  <si>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</si>
  <si>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</si>
  <si>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</si>
  <si>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</si>
  <si>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</si>
  <si>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</si>
  <si>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</si>
  <si>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</si>
  <si>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</si>
  <si>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</si>
  <si>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</si>
  <si>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</si>
  <si>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</si>
  <si>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</si>
  <si>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</si>
  <si>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</si>
  <si>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</si>
  <si>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</si>
  <si>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</si>
  <si>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</si>
  <si>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</si>
  <si>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</si>
  <si>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</si>
  <si>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</si>
  <si>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</si>
  <si>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</si>
  <si>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</si>
  <si>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</si>
  <si>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</si>
  <si>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</si>
  <si>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</si>
  <si>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</si>
  <si>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</si>
  <si>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</si>
  <si>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</si>
  <si>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</si>
  <si>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</si>
  <si>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</si>
  <si>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</si>
  <si>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</si>
  <si>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</si>
  <si>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</si>
  <si>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</si>
  <si>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</si>
  <si>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</si>
  <si>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</si>
  <si>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</si>
  <si>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</si>
  <si>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</si>
  <si>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</si>
  <si>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</si>
  <si>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</si>
  <si>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</si>
  <si>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</si>
  <si>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</si>
  <si>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</si>
  <si>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</si>
  <si>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</si>
  <si>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</si>
  <si>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</si>
  <si>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</si>
  <si>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</si>
  <si>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</si>
  <si>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</si>
  <si>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</si>
  <si>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</si>
  <si>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</si>
  <si>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</si>
  <si>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</si>
  <si>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</si>
  <si>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</si>
  <si>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</si>
  <si>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</si>
  <si>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</si>
  <si>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</si>
  <si>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</si>
  <si>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</si>
  <si>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</si>
  <si>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</si>
  <si>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</si>
  <si>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</si>
  <si>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</si>
  <si>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</si>
  <si>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</si>
  <si>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</si>
  <si>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</si>
  <si>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</si>
  <si>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</si>
  <si>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</si>
  <si>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</si>
  <si>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</si>
  <si>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</si>
  <si>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</si>
  <si>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</si>
  <si>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</si>
  <si>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</si>
  <si>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</si>
  <si>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</si>
  <si>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</si>
  <si>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</si>
  <si>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</si>
  <si>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</si>
  <si>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</si>
  <si>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</si>
  <si>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</si>
  <si>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</si>
  <si>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</si>
  <si>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</si>
  <si>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</si>
  <si>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</si>
  <si>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</si>
  <si>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</si>
  <si>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</si>
  <si>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</si>
  <si>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</si>
  <si>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</si>
  <si>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</si>
  <si>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</si>
  <si>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</si>
  <si>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</si>
  <si>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</si>
  <si>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</si>
  <si>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</si>
  <si>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</si>
  <si>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</si>
  <si>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</si>
  <si>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</si>
  <si>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</si>
  <si>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</si>
  <si>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</si>
  <si>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</si>
  <si>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</si>
  <si>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</si>
  <si>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</si>
  <si>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</si>
  <si>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</si>
  <si>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</si>
  <si>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</si>
  <si>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</si>
  <si>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</si>
  <si>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</si>
  <si>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</si>
  <si>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</si>
  <si>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</si>
  <si>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</si>
  <si>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</si>
  <si>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</si>
  <si>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</si>
  <si>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</si>
  <si>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</si>
  <si>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</si>
  <si>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</si>
  <si>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</si>
  <si>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</si>
  <si>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</si>
  <si>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</si>
  <si>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</si>
  <si>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</si>
  <si>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</si>
  <si>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</si>
  <si>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</si>
  <si>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</si>
  <si>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</si>
  <si>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</si>
  <si>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</si>
  <si>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</si>
  <si>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</si>
  <si>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</si>
  <si>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</si>
  <si>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</si>
  <si>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</si>
  <si>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</si>
  <si>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</si>
  <si>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</si>
  <si>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</si>
  <si>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</si>
  <si>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</si>
  <si>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</si>
  <si>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</si>
  <si>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</si>
  <si>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</si>
  <si>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</si>
  <si>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</si>
  <si>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</si>
  <si>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</si>
  <si>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</si>
  <si>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</si>
  <si>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</si>
  <si>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</si>
  <si>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</si>
  <si>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</si>
  <si>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</si>
  <si>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</si>
  <si>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</si>
  <si>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</si>
  <si>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</si>
  <si>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</si>
  <si>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</si>
  <si>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</si>
  <si>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</si>
  <si>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</si>
  <si>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</si>
  <si>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</si>
  <si>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</si>
  <si>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</si>
  <si>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</si>
  <si>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</si>
  <si>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</si>
  <si>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</si>
  <si>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</si>
  <si>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</si>
  <si>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</si>
  <si>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</si>
  <si>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</si>
  <si>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</si>
  <si>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</si>
  <si>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</si>
  <si>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</si>
  <si>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</si>
  <si>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</si>
  <si>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</si>
  <si>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</si>
  <si>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</si>
  <si>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</si>
  <si>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</si>
  <si>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</si>
  <si>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</si>
  <si>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</si>
  <si>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</si>
  <si>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</si>
  <si>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</si>
  <si>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</si>
  <si>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</si>
  <si>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</si>
  <si>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</si>
  <si>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</si>
  <si>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</si>
  <si>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</si>
  <si>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</si>
  <si>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</si>
  <si>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</si>
  <si>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</si>
  <si>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</si>
  <si>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</si>
  <si>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</si>
  <si>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</si>
  <si>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</si>
  <si>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</si>
  <si>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</si>
  <si>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</si>
  <si>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</si>
  <si>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</si>
  <si>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</si>
  <si>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</si>
  <si>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</si>
  <si>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</si>
  <si>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</si>
  <si>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</si>
  <si>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</si>
  <si>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</si>
  <si>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</si>
  <si>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</si>
  <si>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</si>
  <si>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</si>
  <si>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</si>
  <si>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</si>
  <si>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</si>
  <si>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</si>
  <si>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</si>
  <si>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</si>
  <si>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</si>
  <si>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</si>
  <si>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</si>
  <si>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</si>
  <si>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</si>
  <si>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</si>
  <si>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</si>
  <si>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</si>
  <si>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</si>
  <si>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</si>
  <si>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</si>
  <si>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</si>
  <si>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</si>
  <si>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</si>
  <si>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</si>
  <si>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</si>
  <si>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</si>
  <si>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</si>
  <si>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</si>
  <si>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</si>
  <si>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</si>
  <si>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</si>
  <si>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</si>
  <si>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</si>
  <si>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</si>
  <si>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</si>
  <si>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</si>
  <si>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</si>
  <si>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</si>
  <si>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</si>
  <si>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</si>
  <si>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</si>
  <si>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</si>
  <si>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</si>
  <si>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</si>
  <si>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</si>
  <si>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</si>
  <si>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</si>
  <si>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</si>
  <si>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</si>
  <si>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</si>
  <si>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</si>
  <si>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</si>
  <si>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</si>
  <si>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</si>
  <si>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</si>
  <si>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</si>
  <si>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</si>
  <si>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</si>
  <si>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</si>
  <si>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</si>
  <si>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</si>
  <si>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</si>
  <si>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</si>
  <si>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</si>
  <si>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</si>
  <si>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</si>
  <si>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</si>
  <si>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</si>
  <si>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</si>
  <si>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</si>
  <si>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</si>
  <si>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</si>
  <si>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</si>
  <si>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</si>
  <si>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</si>
  <si>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</si>
  <si>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</si>
  <si>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</si>
  <si>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</si>
  <si>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</si>
  <si>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</si>
  <si>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</si>
  <si>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</si>
  <si>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</si>
  <si>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</si>
  <si>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</si>
  <si>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</si>
  <si>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</si>
  <si>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</si>
  <si>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</si>
  <si>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</si>
  <si>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</si>
  <si>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</si>
  <si>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</si>
  <si>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</si>
  <si>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</si>
  <si>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</si>
  <si>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</si>
  <si>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</si>
  <si>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</si>
  <si>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</si>
  <si>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</si>
  <si>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</si>
  <si>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</si>
  <si>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</si>
  <si>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</si>
  <si>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</si>
  <si>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</si>
  <si>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</si>
  <si>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</si>
  <si>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</si>
  <si>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</si>
  <si>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</si>
  <si>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</si>
  <si>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</si>
  <si>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</si>
  <si>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</si>
  <si>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</si>
  <si>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</si>
  <si>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</si>
  <si>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</si>
  <si>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</si>
  <si>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</si>
  <si>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</si>
  <si>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</si>
  <si>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</si>
  <si>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</si>
  <si>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</si>
  <si>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</si>
  <si>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</si>
  <si>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</si>
  <si>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</si>
  <si>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</si>
  <si>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</si>
  <si>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</si>
  <si>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</si>
  <si>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</si>
  <si>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</si>
  <si>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</si>
  <si>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</si>
  <si>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</si>
  <si>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</si>
  <si>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</si>
  <si>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</si>
  <si>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</si>
  <si>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</si>
  <si>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</si>
  <si>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</si>
  <si>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</si>
  <si>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</si>
  <si>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</si>
  <si>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</si>
  <si>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</si>
  <si>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</si>
  <si>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</si>
  <si>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</si>
  <si>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</si>
  <si>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</si>
  <si>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</si>
  <si>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</si>
  <si>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</si>
  <si>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</si>
  <si>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</si>
  <si>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</si>
  <si>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</si>
  <si>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</si>
  <si>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</si>
  <si>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</si>
  <si>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</si>
  <si>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</si>
  <si>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</si>
  <si>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</si>
  <si>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</si>
  <si>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</si>
  <si>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</si>
  <si>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</si>
  <si>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</si>
  <si>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</si>
  <si>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</si>
  <si>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</si>
  <si>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</si>
  <si>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</si>
  <si>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</si>
  <si>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</si>
  <si>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</si>
  <si>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</si>
  <si>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</si>
  <si>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</si>
  <si>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</si>
  <si>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</si>
  <si>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</si>
  <si>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</si>
  <si>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</si>
  <si>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</si>
  <si>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</si>
  <si>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</si>
  <si>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</si>
  <si>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</si>
  <si>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</si>
  <si>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</si>
  <si>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</si>
  <si>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</si>
  <si>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</si>
  <si>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</si>
  <si>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</si>
  <si>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</si>
  <si>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</si>
  <si>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</si>
  <si>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</si>
  <si>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</si>
  <si>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</si>
  <si>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</si>
  <si>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</si>
  <si>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</si>
  <si>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</si>
  <si>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</si>
  <si>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</si>
  <si>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</si>
  <si>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</si>
  <si>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</si>
  <si>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</si>
  <si>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</si>
  <si>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</si>
  <si>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</si>
  <si>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</si>
  <si>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</si>
  <si>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</si>
  <si>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</si>
  <si>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</si>
  <si>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</si>
  <si>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</si>
  <si>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</si>
  <si>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</si>
  <si>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</si>
  <si>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</si>
  <si>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</si>
  <si>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</si>
  <si>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</si>
  <si>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</si>
  <si>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</si>
  <si>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</si>
  <si>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</si>
  <si>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</si>
  <si>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</si>
  <si>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</si>
  <si>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</si>
  <si>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</si>
  <si>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</si>
  <si>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</si>
  <si>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</si>
  <si>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</si>
  <si>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</si>
  <si>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</si>
  <si>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</si>
  <si>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</si>
  <si>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</si>
  <si>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</si>
  <si>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</si>
  <si>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</si>
  <si>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</si>
  <si>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</si>
  <si>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</si>
  <si>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</si>
  <si>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</si>
  <si>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</si>
  <si>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</si>
  <si>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</si>
  <si>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</si>
  <si>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</si>
  <si>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</si>
  <si>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</si>
  <si>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</si>
  <si>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</si>
  <si>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</si>
  <si>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</si>
  <si>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</si>
  <si>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</si>
  <si>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</si>
  <si>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</si>
  <si>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</si>
  <si>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</si>
  <si>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</si>
  <si>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</si>
  <si>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</si>
  <si>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</si>
  <si>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</si>
  <si>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</si>
  <si>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</si>
  <si>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</si>
  <si>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</si>
  <si>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</si>
  <si>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</si>
  <si>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</si>
  <si>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</si>
  <si>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</si>
  <si>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</si>
  <si>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</si>
  <si>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</si>
  <si>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</si>
  <si>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</si>
  <si>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</si>
  <si>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</si>
  <si>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</si>
  <si>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</si>
  <si>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</si>
  <si>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</si>
  <si>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</si>
  <si>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</si>
  <si>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</si>
  <si>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</si>
  <si>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</si>
  <si>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</si>
  <si>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</si>
  <si>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</si>
  <si>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</si>
  <si>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</si>
  <si>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</si>
  <si>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</si>
  <si>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</si>
  <si>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</si>
  <si>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</si>
  <si>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</si>
  <si>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</si>
  <si>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</si>
  <si>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</si>
  <si>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</si>
  <si>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</si>
  <si>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</si>
  <si>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</si>
  <si>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</si>
  <si>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</si>
  <si>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</si>
  <si>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</si>
  <si>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</si>
  <si>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</si>
  <si>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</si>
  <si>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</si>
  <si>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</si>
  <si>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</si>
  <si>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</si>
  <si>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</si>
  <si>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</si>
  <si>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</si>
  <si>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</si>
  <si>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</si>
  <si>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</si>
  <si>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</si>
  <si>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</si>
  <si>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</si>
  <si>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</si>
  <si>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</si>
  <si>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</si>
  <si>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</si>
  <si>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</si>
  <si>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</si>
  <si>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</si>
  <si>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</si>
  <si>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</si>
  <si>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</si>
  <si>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</si>
  <si>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</si>
  <si>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</si>
  <si>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</si>
  <si>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</si>
  <si>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</si>
  <si>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</si>
  <si>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</si>
  <si>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</si>
  <si>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</si>
  <si>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</si>
  <si>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</si>
  <si>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</si>
  <si>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</si>
  <si>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</si>
  <si>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</si>
  <si>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</si>
  <si>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</si>
  <si>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</si>
  <si>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</si>
  <si>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</si>
  <si>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</si>
  <si>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</si>
  <si>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</si>
  <si>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</si>
  <si>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</si>
  <si>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</si>
  <si>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</si>
  <si>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</si>
  <si>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</si>
  <si>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</si>
  <si>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</si>
  <si>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</si>
  <si>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</si>
  <si>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</si>
  <si>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</si>
  <si>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</si>
  <si>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</si>
  <si>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</si>
  <si>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</si>
  <si>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</si>
  <si>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</si>
  <si>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</si>
  <si>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</si>
  <si>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</si>
  <si>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</si>
  <si>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</si>
  <si>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</si>
  <si>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</si>
  <si>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</si>
  <si>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</si>
  <si>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</si>
  <si>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</si>
  <si>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</si>
  <si>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</si>
  <si>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</si>
  <si>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</si>
  <si>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</si>
  <si>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</si>
  <si>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</si>
  <si>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</si>
  <si>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</si>
  <si>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</si>
  <si>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</si>
  <si>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</si>
  <si>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</si>
  <si>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</si>
  <si>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</si>
  <si>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</si>
  <si>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</si>
  <si>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</si>
  <si>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</si>
  <si>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</si>
  <si>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</si>
  <si>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</si>
  <si>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</si>
  <si>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</si>
  <si>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</si>
  <si>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</si>
  <si>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</si>
  <si>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</si>
  <si>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</si>
  <si>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</si>
  <si>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</si>
  <si>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</si>
  <si>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</si>
  <si>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</si>
  <si>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</si>
  <si>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</si>
  <si>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</si>
  <si>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</si>
  <si>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</si>
  <si>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</si>
  <si>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</si>
  <si>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</si>
  <si>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</si>
  <si>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</si>
  <si>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</si>
  <si>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</si>
  <si>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</si>
  <si>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</si>
  <si>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</si>
  <si>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</si>
  <si>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</si>
  <si>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</si>
  <si>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</si>
  <si>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</si>
  <si>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</si>
  <si>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</si>
  <si>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</si>
  <si>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</si>
  <si>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</si>
  <si>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</si>
  <si>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</si>
  <si>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</si>
  <si>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</si>
  <si>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</si>
  <si>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</si>
  <si>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</si>
  <si>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</si>
  <si>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</si>
  <si>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</si>
  <si>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</si>
  <si>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</si>
  <si>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</si>
  <si>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</si>
  <si>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</si>
  <si>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</si>
  <si>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</si>
  <si>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</si>
  <si>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</si>
  <si>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</si>
  <si>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</si>
  <si>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</si>
  <si>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</si>
  <si>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</si>
  <si>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</si>
  <si>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</si>
  <si>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</si>
  <si>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</si>
  <si>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</si>
  <si>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</si>
  <si>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</si>
  <si>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</si>
  <si>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</si>
  <si>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</si>
  <si>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</si>
  <si>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</si>
  <si>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</si>
  <si>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</si>
  <si>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</si>
  <si>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</si>
  <si>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</si>
  <si>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</si>
  <si>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</si>
  <si>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</si>
  <si>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</si>
  <si>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</si>
  <si>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</si>
  <si>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</si>
  <si>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</si>
  <si>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</si>
  <si>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</si>
  <si>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</si>
  <si>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</si>
  <si>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</si>
  <si>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</si>
  <si>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</si>
  <si>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</si>
  <si>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</si>
  <si>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</si>
  <si>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</si>
  <si>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</si>
  <si>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</si>
  <si>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</si>
  <si>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</si>
  <si>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</si>
  <si>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</si>
  <si>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</si>
  <si>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</si>
  <si>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</si>
  <si>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</si>
  <si>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</si>
  <si>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</si>
  <si>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</si>
  <si>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</si>
  <si>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</si>
  <si>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</si>
  <si>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</si>
  <si>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</si>
  <si>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</si>
  <si>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</si>
  <si>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</si>
  <si>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</si>
  <si>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</si>
  <si>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</si>
  <si>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</si>
  <si>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</si>
  <si>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</si>
  <si>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</si>
  <si>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</si>
  <si>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</si>
  <si>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</si>
  <si>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</si>
  <si>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</si>
  <si>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</si>
  <si>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</si>
  <si>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</si>
  <si>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</si>
  <si>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</si>
  <si>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</si>
  <si>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</si>
  <si>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</si>
  <si>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</si>
  <si>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</si>
  <si>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</si>
  <si>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</si>
  <si>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</si>
  <si>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</si>
  <si>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</si>
  <si>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</si>
  <si>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</si>
  <si>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</si>
  <si>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</si>
  <si>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</si>
  <si>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</si>
  <si>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</si>
  <si>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</si>
  <si>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</si>
  <si>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</si>
  <si>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</si>
  <si>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</si>
  <si>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</si>
  <si>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</si>
  <si>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</si>
  <si>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</si>
  <si>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</si>
  <si>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</si>
  <si>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</si>
  <si>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</si>
  <si>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</si>
  <si>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</si>
  <si>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</si>
  <si>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</si>
  <si>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</si>
  <si>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</si>
  <si>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</si>
  <si>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</si>
  <si>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</si>
  <si>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</si>
  <si>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</si>
  <si>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</si>
  <si>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</si>
  <si>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</si>
  <si>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</si>
  <si>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</si>
  <si>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</si>
  <si>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</si>
  <si>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</si>
  <si>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</si>
  <si>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</si>
  <si>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</si>
  <si>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</si>
  <si>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</si>
  <si>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</si>
  <si>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</si>
  <si>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</si>
  <si>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</si>
  <si>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</si>
  <si>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</si>
  <si>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</si>
  <si>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</si>
  <si>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</si>
  <si>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</si>
  <si>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</si>
  <si>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</si>
  <si>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</si>
  <si>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</si>
  <si>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</si>
  <si>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</si>
  <si>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</si>
  <si>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</si>
  <si>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</si>
  <si>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</si>
  <si>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</si>
  <si>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</si>
  <si>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</si>
  <si>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</si>
  <si>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</si>
  <si>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</si>
  <si>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</si>
  <si>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</si>
  <si>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</si>
  <si>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</si>
  <si>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</si>
  <si>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</si>
  <si>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</si>
  <si>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</si>
  <si>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</si>
  <si>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</si>
  <si>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</si>
  <si>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</si>
  <si>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</si>
  <si>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</si>
  <si>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</si>
  <si>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</si>
  <si>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</si>
  <si>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</si>
  <si>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</si>
  <si>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</si>
  <si>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</si>
  <si>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</si>
  <si>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</si>
  <si>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</si>
  <si>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</si>
  <si>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</si>
  <si>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</si>
  <si>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</si>
  <si>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</si>
  <si>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</si>
  <si>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</si>
  <si>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</si>
  <si>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</si>
  <si>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</si>
  <si>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</si>
  <si>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</si>
  <si>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</si>
  <si>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</si>
  <si>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</si>
  <si>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</si>
  <si>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</si>
  <si>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</si>
  <si>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</si>
  <si>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</si>
  <si>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</si>
  <si>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</si>
  <si>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</si>
  <si>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</si>
  <si>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</si>
  <si>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</si>
  <si>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</si>
  <si>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</si>
  <si>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</si>
  <si>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</si>
  <si>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</si>
  <si>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</si>
  <si>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</si>
  <si>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</si>
  <si>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</si>
  <si>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</si>
  <si>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</si>
  <si>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</si>
  <si>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</si>
  <si>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</si>
  <si>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</si>
  <si>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</si>
  <si>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</si>
  <si>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</si>
  <si>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</si>
  <si>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</si>
  <si>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</si>
  <si>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</si>
  <si>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</si>
  <si>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</si>
  <si>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</si>
  <si>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</si>
  <si>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</si>
  <si>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</si>
  <si>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</si>
  <si>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</si>
  <si>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</si>
  <si>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</si>
  <si>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</si>
  <si>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</si>
  <si>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</si>
  <si>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</si>
  <si>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</si>
  <si>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</si>
  <si>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</si>
  <si>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</si>
  <si>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</si>
  <si>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</si>
  <si>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</si>
  <si>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</si>
  <si>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</si>
  <si>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</si>
  <si>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</si>
  <si>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</si>
  <si>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</si>
  <si>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</si>
  <si>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</si>
  <si>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</si>
  <si>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</si>
  <si>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</si>
  <si>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</si>
  <si>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</si>
  <si>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</si>
  <si>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</si>
  <si>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</si>
  <si>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</si>
  <si>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</si>
  <si>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</si>
  <si>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</si>
  <si>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</si>
  <si>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</si>
  <si>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</si>
  <si>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</si>
  <si>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</si>
  <si>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</si>
  <si>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</si>
  <si>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</si>
  <si>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</si>
  <si>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</si>
  <si>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</si>
  <si>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</si>
  <si>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</si>
  <si>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</si>
  <si>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</si>
  <si>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</si>
  <si>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</si>
  <si>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</si>
  <si>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</si>
  <si>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</si>
  <si>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</si>
  <si>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</si>
  <si>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</si>
  <si>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</si>
  <si>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</si>
  <si>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</si>
  <si>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</si>
  <si>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</si>
  <si>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</si>
  <si>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</si>
  <si>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</si>
  <si>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</si>
  <si>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</si>
  <si>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</si>
  <si>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</si>
  <si>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</si>
  <si>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</si>
  <si>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</si>
  <si>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</si>
  <si>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</si>
  <si>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</si>
  <si>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</si>
  <si>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</si>
  <si>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</si>
  <si>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</si>
  <si>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</si>
  <si>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</si>
  <si>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</si>
  <si>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</si>
  <si>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</si>
  <si>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</si>
  <si>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</si>
  <si>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</si>
  <si>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</si>
  <si>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</si>
  <si>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</si>
  <si>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</si>
  <si>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</si>
  <si>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</si>
  <si>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</si>
  <si>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</si>
  <si>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</si>
  <si>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</si>
  <si>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</si>
  <si>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</si>
  <si>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</si>
  <si>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</si>
  <si>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</si>
  <si>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</si>
  <si>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</si>
  <si>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</si>
  <si>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</si>
  <si>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</si>
  <si>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</si>
  <si>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</si>
  <si>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</si>
  <si>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</si>
  <si>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</si>
  <si>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</si>
  <si>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</si>
  <si>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</si>
  <si>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</si>
  <si>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</si>
  <si>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</si>
  <si>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</si>
  <si>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</si>
  <si>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</si>
  <si>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</si>
  <si>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</si>
  <si>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</si>
  <si>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</si>
  <si>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</si>
  <si>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</si>
  <si>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</si>
  <si>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</si>
  <si>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</si>
  <si>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</si>
  <si>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</si>
  <si>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</si>
  <si>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</si>
  <si>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</si>
  <si>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</si>
  <si>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</si>
  <si>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</si>
  <si>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</si>
  <si>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</si>
  <si>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</si>
  <si>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</si>
  <si>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</si>
  <si>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</si>
  <si>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</si>
  <si>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</si>
  <si>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</si>
  <si>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</si>
  <si>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</si>
  <si>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</si>
  <si>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</si>
  <si>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</si>
  <si>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</si>
  <si>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</si>
  <si>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</si>
  <si>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</si>
  <si>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</si>
  <si>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</si>
  <si>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</si>
  <si>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</si>
  <si>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</si>
  <si>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</si>
  <si>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</si>
  <si>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</si>
  <si>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</si>
  <si>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</si>
  <si>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</si>
  <si>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</si>
  <si>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</si>
  <si>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</si>
  <si>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</si>
  <si>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</si>
  <si>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</si>
  <si>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</si>
  <si>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</si>
  <si>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</si>
  <si>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</si>
  <si>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</si>
  <si>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</si>
  <si>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</si>
  <si>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</si>
  <si>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</si>
  <si>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</si>
  <si>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</si>
  <si>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</si>
  <si>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</si>
  <si>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</si>
  <si>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</si>
  <si>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</si>
  <si>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</si>
  <si>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</si>
  <si>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</si>
  <si>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</si>
  <si>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</si>
  <si>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</si>
  <si>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</si>
  <si>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</si>
  <si>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</si>
  <si>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</si>
  <si>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</si>
  <si>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</si>
  <si>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</si>
  <si>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</si>
  <si>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</si>
  <si>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</si>
  <si>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</si>
  <si>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</si>
  <si>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</si>
  <si>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</si>
  <si>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</si>
  <si>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</si>
  <si>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</si>
  <si>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</si>
  <si>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</si>
  <si>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</si>
  <si>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</si>
  <si>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</si>
  <si>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</si>
  <si>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</si>
  <si>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</si>
  <si>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</si>
  <si>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</si>
  <si>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</si>
  <si>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</si>
  <si>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</si>
  <si>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</si>
  <si>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</si>
  <si>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</si>
  <si>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</si>
  <si>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</si>
  <si>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</si>
  <si>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</si>
  <si>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</si>
  <si>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</si>
  <si>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</si>
  <si>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</si>
  <si>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</si>
  <si>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</si>
  <si>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</si>
  <si>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</si>
  <si>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</si>
  <si>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</si>
  <si>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</si>
  <si>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</si>
  <si>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</si>
  <si>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</si>
  <si>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</si>
  <si>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</si>
  <si>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</si>
  <si>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</si>
  <si>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</si>
  <si>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</si>
  <si>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</si>
  <si>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</si>
  <si>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</si>
  <si>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</si>
  <si>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</si>
  <si>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</si>
  <si>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</si>
  <si>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</si>
  <si>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</si>
  <si>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</si>
  <si>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</si>
  <si>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</si>
  <si>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</si>
  <si>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</si>
  <si>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</si>
  <si>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</si>
  <si>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</si>
  <si>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</si>
  <si>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</si>
  <si>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</si>
  <si>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</si>
  <si>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</si>
  <si>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</si>
  <si>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</si>
  <si>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</si>
  <si>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</si>
  <si>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</si>
  <si>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</si>
  <si>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</si>
  <si>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</si>
  <si>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</si>
  <si>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</si>
  <si>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</si>
  <si>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</si>
  <si>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</si>
  <si>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</si>
  <si>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</si>
  <si>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</si>
  <si>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</si>
  <si>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</si>
  <si>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</si>
  <si>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</si>
  <si>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</si>
  <si>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</si>
  <si>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</si>
  <si>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</si>
  <si>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</si>
  <si>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</si>
  <si>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</si>
  <si>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</si>
  <si>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</si>
  <si>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</si>
  <si>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</si>
  <si>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</si>
  <si>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</si>
  <si>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</si>
  <si>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</si>
  <si>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</si>
  <si>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</si>
  <si>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</si>
  <si>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</si>
  <si>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</si>
  <si>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</si>
  <si>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</si>
  <si>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</si>
  <si>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</si>
  <si>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</si>
  <si>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</si>
  <si>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</si>
  <si>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</si>
  <si>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</si>
  <si>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</si>
  <si>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</si>
  <si>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</si>
  <si>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</si>
  <si>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</si>
  <si>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</si>
  <si>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</si>
  <si>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</si>
  <si>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</si>
  <si>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</si>
  <si>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</si>
  <si>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</si>
  <si>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</si>
  <si>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</si>
  <si>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</si>
  <si>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</si>
  <si>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</si>
  <si>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</si>
  <si>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</si>
  <si>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</si>
  <si>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</si>
  <si>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</si>
  <si>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</si>
  <si>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</si>
  <si>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</si>
  <si>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</si>
  <si>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</si>
  <si>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</si>
  <si>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</si>
  <si>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</si>
  <si>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</si>
  <si>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</si>
  <si>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</si>
  <si>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</si>
  <si>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</si>
  <si>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</si>
  <si>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</si>
  <si>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</si>
  <si>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</si>
  <si>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</si>
  <si>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</si>
  <si>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</si>
  <si>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</si>
  <si>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</si>
  <si>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</si>
  <si>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</si>
  <si>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</si>
  <si>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</si>
  <si>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</si>
  <si>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</si>
  <si>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LE BES</t>
  </si>
  <si>
    <t xml:space="preserve">LE BES A SAINT-JUERY</t>
  </si>
  <si>
    <t xml:space="preserve">05096810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</si>
  <si>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</si>
  <si>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</si>
  <si>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</si>
  <si>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</si>
  <si>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</si>
  <si>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</si>
  <si>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</si>
  <si>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</si>
  <si>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</si>
  <si>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</si>
  <si>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</si>
  <si>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</si>
  <si>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</si>
  <si>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</si>
  <si>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</si>
  <si>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</si>
  <si>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</si>
  <si>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</si>
  <si>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</si>
  <si>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</si>
  <si>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</si>
  <si>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</si>
  <si>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très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</si>
  <si>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</si>
  <si>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</si>
  <si>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</si>
  <si>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</si>
  <si>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</si>
  <si>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</si>
  <si>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</si>
  <si>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</si>
  <si>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</si>
  <si>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</si>
  <si>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</si>
  <si>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</si>
  <si>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</si>
  <si>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</si>
  <si>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</si>
  <si>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</si>
  <si>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</si>
  <si>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</si>
  <si>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</si>
  <si>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</si>
  <si>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</si>
  <si>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</si>
  <si>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</si>
  <si>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</si>
  <si>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</si>
  <si>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</si>
  <si>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</si>
  <si>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</si>
  <si>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</si>
  <si>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</si>
  <si>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</si>
  <si>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</si>
  <si>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</si>
  <si>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</si>
  <si>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</si>
  <si>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</si>
  <si>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</si>
  <si>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</si>
  <si>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</si>
  <si>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</si>
  <si>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</si>
  <si>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</si>
  <si>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</si>
  <si>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</si>
  <si>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</si>
  <si>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</si>
  <si>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</si>
  <si>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</si>
  <si>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</si>
  <si>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</si>
  <si>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</si>
  <si>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</si>
  <si>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</si>
  <si>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</si>
  <si>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</si>
  <si>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</si>
  <si>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</si>
  <si>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</si>
  <si>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</si>
  <si>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</si>
  <si>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</si>
  <si>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</si>
  <si>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</si>
  <si>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</si>
  <si>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</si>
  <si>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</si>
  <si>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</si>
  <si>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</si>
  <si>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</si>
  <si>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</si>
  <si>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</si>
  <si>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</si>
  <si>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</si>
  <si>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</si>
  <si>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</si>
  <si>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</si>
  <si>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</si>
  <si>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</si>
  <si>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</si>
  <si>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</si>
  <si>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</si>
  <si>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</si>
  <si>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</si>
  <si>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</si>
  <si>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peu abondant</t>
  </si>
  <si>
    <t xml:space="preserve">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</si>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</sst>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42612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10.8421052631579</v>
      </c>
      <c r="N5" s="324"/>
      <c r="O5" s="325" t="s">
        <v>134</v>
      </c>
      <c r="P5" s="326" t="n">
        <v>12.1333333333333</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91</v>
      </c>
      <c r="C7" s="342" t="n">
        <v>9</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11.2222222222222</v>
      </c>
      <c r="P8" s="356" t="n">
        <f aca="false">IF(ISERROR(AVERAGE(K23:K82)),"  ",AVERAGE(K23:K82))</f>
        <v>1.44444444444444</v>
      </c>
      <c r="Q8" s="357"/>
      <c r="R8" s="281"/>
      <c r="S8" s="281"/>
      <c r="T8" s="281"/>
      <c r="U8" s="281"/>
      <c r="V8" s="281"/>
      <c r="W8" s="295"/>
      <c r="X8" s="0"/>
      <c r="Y8" s="0"/>
      <c r="Z8" s="0"/>
    </row>
    <row r="9" customFormat="false" ht="12.75" hidden="false" customHeight="false" outlineLevel="0" collapsed="false">
      <c r="A9" s="314" t="s">
        <v>3400</v>
      </c>
      <c r="B9" s="358" t="n">
        <v>20</v>
      </c>
      <c r="C9" s="359" t="n">
        <v>20</v>
      </c>
      <c r="D9" s="360"/>
      <c r="E9" s="360"/>
      <c r="F9" s="361" t="n">
        <f aca="false">($B9*$B$7+$C9*$C$7)/100</f>
        <v>20</v>
      </c>
      <c r="G9" s="362"/>
      <c r="H9" s="317"/>
      <c r="I9" s="281"/>
      <c r="J9" s="363"/>
      <c r="K9" s="364"/>
      <c r="L9" s="347"/>
      <c r="M9" s="365"/>
      <c r="N9" s="355" t="s">
        <v>3401</v>
      </c>
      <c r="O9" s="356" t="n">
        <f aca="false">IF(ISERROR(STDEVP(J23:J82))," ",STDEVP(J23:J82))</f>
        <v>2.43938871112224</v>
      </c>
      <c r="P9" s="356" t="n">
        <f aca="false">IF(ISERROR(STDEVP(K23:K82)),"  ",STDEVP(K23:K82))</f>
        <v>0.496903994999953</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6</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1</v>
      </c>
      <c r="M13" s="381"/>
      <c r="N13" s="389" t="s">
        <v>3413</v>
      </c>
      <c r="O13" s="390" t="n">
        <f aca="false">COUNTIF(F23:F82,"&gt;0")</f>
        <v>12</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9</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5</v>
      </c>
      <c r="M15" s="381"/>
      <c r="N15" s="389" t="s">
        <v>3419</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4</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0.75</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19.345</v>
      </c>
      <c r="C20" s="433" t="n">
        <f aca="false">SUM(C23:C82)</f>
        <v>19</v>
      </c>
      <c r="D20" s="434"/>
      <c r="E20" s="435" t="s">
        <v>3426</v>
      </c>
      <c r="F20" s="436" t="n">
        <f aca="false">($B20*$B$7+$C20*$C$7)/100</f>
        <v>19.31395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17.60395</v>
      </c>
      <c r="C21" s="444" t="n">
        <f aca="false">C20*C7/100</f>
        <v>1.71</v>
      </c>
      <c r="D21" s="445" t="s">
        <v>3429</v>
      </c>
      <c r="E21" s="446"/>
      <c r="F21" s="447" t="n">
        <f aca="false">B21+C21</f>
        <v>19.31395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15.25</v>
      </c>
      <c r="C23" s="473" t="n">
        <v>7</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14.5075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14.5075</v>
      </c>
      <c r="S23" s="485" t="n">
        <f aca="false">IF(OR(ISTEXT(H23),R23=0),"",IF(R23&lt;0.1,1,IF(R23&lt;1,2,IF(R23&lt;10,3,IF(R23&lt;50,4,IF(R23&gt;=50,5,""))))))</f>
        <v>4</v>
      </c>
      <c r="T23" s="485" t="n">
        <f aca="false">IF(ISERROR(S23*J23),0,S23*J23)</f>
        <v>24</v>
      </c>
      <c r="U23" s="485" t="n">
        <f aca="false">IF(ISERROR(S23*J23*K23),0,S23*J23*K23)</f>
        <v>24</v>
      </c>
      <c r="V23" s="485" t="n">
        <f aca="false">IF(ISERROR(S23*K23),0,S23*K23)</f>
        <v>4</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176</v>
      </c>
      <c r="B24" s="490" t="n">
        <v>2.3</v>
      </c>
      <c r="C24" s="491" t="n">
        <v>0.5</v>
      </c>
      <c r="D24" s="492" t="str">
        <f aca="false">IF(ISERROR(VLOOKUP($A24,'liste reference'!$A$6:$B$1174,2,0)),IF(ISERROR(VLOOKUP($A24,'liste reference'!$B$6:$B$1174,1,0)),"",VLOOKUP($A24,'liste reference'!$B$6:$B$1174,1,0)),VLOOKUP($A24,'liste reference'!$A$6:$B$1174,2,0))</f>
        <v>Gomphoneis sp.</v>
      </c>
      <c r="E24" s="493" t="e">
        <f aca="false">IF(D24="",0,VLOOKUP(D24,D$22:D23,1,0))</f>
        <v>#N/A</v>
      </c>
      <c r="F24" s="494" t="n">
        <f aca="false">IF(AND(OR(A24="",A24="!!!!!!"),B24="",C24=""),"",IF(OR(AND(B24="",C24=""),ISERROR(C24+B24)),"!!!",($B24*$B$7+$C24*$C$7)/100))</f>
        <v>2.138</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Gomphoneis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9382</v>
      </c>
      <c r="R24" s="484" t="n">
        <f aca="false">IF(ISTEXT(H24),"",(B24*$B$7/100)+(C24*$C$7/100))</f>
        <v>2.138</v>
      </c>
      <c r="S24" s="485" t="n">
        <f aca="false">IF(OR(ISTEXT(H24),R24=0),"",IF(R24&lt;0.1,1,IF(R24&lt;1,2,IF(R24&lt;10,3,IF(R24&lt;50,4,IF(R24&gt;=50,5,""))))))</f>
        <v>3</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GOMSPX</v>
      </c>
      <c r="Z24" s="470" t="n">
        <f aca="false">IF(ISERROR(MATCH(A24,'liste reference'!$A$6:$A$1174,0)),IF(ISERROR(MATCH(A24,'liste reference'!$B$6:$B$1174,0)),"",(MATCH(A24,'liste reference'!$B$6:$B$1174,0))),(MATCH(A24,'liste reference'!$A$6:$A$1174,0)))</f>
        <v>48</v>
      </c>
    </row>
    <row r="25" customFormat="false" ht="12.75" hidden="false" customHeight="false" outlineLevel="0" collapsed="false">
      <c r="A25" s="489" t="s">
        <v>217</v>
      </c>
      <c r="B25" s="490" t="n">
        <v>0.05</v>
      </c>
      <c r="C25" s="491"/>
      <c r="D25" s="492" t="str">
        <f aca="false">IF(ISERROR(VLOOKUP($A25,'liste reference'!$A$6:$B$1174,2,0)),IF(ISERROR(VLOOKUP($A25,'liste reference'!$B$6:$B$1174,1,0)),"",VLOOKUP($A25,'liste reference'!$B$6:$B$1174,1,0)),VLOOKUP($A25,'liste reference'!$A$6:$B$1174,2,0))</f>
        <v>Lemanea sp.</v>
      </c>
      <c r="E25" s="493" t="e">
        <f aca="false">IF(D25="",0,VLOOKUP(D25,D$22:D24,1,0))</f>
        <v>#N/A</v>
      </c>
      <c r="F25" s="494" t="n">
        <f aca="false">IF(AND(OR(A25="",A25="!!!!!!"),B25="",C25=""),"",IF(OR(AND(B25="",C25=""),ISERROR(C25+B25)),"!!!",($B25*$B$7+$C25*$C$7)/100))</f>
        <v>0.0455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Lemanea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1159</v>
      </c>
      <c r="R25" s="484" t="n">
        <f aca="false">IF(ISTEXT(H25),"",(B25*$B$7/100)+(C25*$C$7/100))</f>
        <v>0.0455</v>
      </c>
      <c r="S25" s="485" t="n">
        <f aca="false">IF(OR(ISTEXT(H25),R25=0),"",IF(R25&lt;0.1,1,IF(R25&lt;1,2,IF(R25&lt;10,3,IF(R25&lt;50,4,IF(R25&gt;=50,5,""))))))</f>
        <v>1</v>
      </c>
      <c r="T25" s="485" t="n">
        <f aca="false">IF(ISERROR(S25*J25),0,S25*J25)</f>
        <v>15</v>
      </c>
      <c r="U25" s="485" t="n">
        <f aca="false">IF(ISERROR(S25*J25*K25),0,S25*J25*K25)</f>
        <v>30</v>
      </c>
      <c r="V25" s="501" t="n">
        <f aca="false">IF(ISERROR(S25*K25),0,S25*K25)</f>
        <v>2</v>
      </c>
      <c r="W25" s="502"/>
      <c r="X25" s="503"/>
      <c r="Y25" s="488" t="str">
        <f aca="false">IF(AND(ISNUMBER(F25),OR(A25="",A25="!!!!!!")),"!!!!!!",IF(A25="new.cod","NEWCOD",IF(AND((Z25=""),ISTEXT(A25),A25&lt;&gt;"!!!!!!"),A25,IF(Z25="","",INDEX('liste reference'!$A$6:$A$1174,Z25)))))</f>
        <v>LEASPX</v>
      </c>
      <c r="Z25" s="470" t="n">
        <f aca="false">IF(ISERROR(MATCH(A25,'liste reference'!$A$6:$A$1174,0)),IF(ISERROR(MATCH(A25,'liste reference'!$B$6:$B$1174,0)),"",(MATCH(A25,'liste reference'!$B$6:$B$1174,0))),(MATCH(A25,'liste reference'!$A$6:$A$1174,0)))</f>
        <v>59</v>
      </c>
    </row>
    <row r="26" customFormat="false" ht="12.75" hidden="false" customHeight="false" outlineLevel="0" collapsed="false">
      <c r="A26" s="489" t="s">
        <v>309</v>
      </c>
      <c r="B26" s="490" t="n">
        <v>0.005</v>
      </c>
      <c r="C26" s="491"/>
      <c r="D26" s="492" t="str">
        <f aca="false">IF(ISERROR(VLOOKUP($A26,'liste reference'!$A$6:$B$1174,2,0)),IF(ISERROR(VLOOKUP($A26,'liste reference'!$B$6:$B$1174,1,0)),"",VLOOKUP($A26,'liste reference'!$B$6:$B$1174,1,0)),VLOOKUP($A26,'liste reference'!$A$6:$B$1174,2,0))</f>
        <v>Phormidium sp.</v>
      </c>
      <c r="E26" s="493" t="e">
        <f aca="false">IF(D26="",0,VLOOKUP(D26,D$22:D25,1,0))</f>
        <v>#N/A</v>
      </c>
      <c r="F26" s="494" t="n">
        <f aca="false">IF(AND(OR(A26="",A26="!!!!!!"),B26="",C26=""),"",IF(OR(AND(B26="",C26=""),ISERROR(C26+B26)),"!!!",($B26*$B$7+$C26*$C$7)/100))</f>
        <v>0.00455</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Phormidium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6414</v>
      </c>
      <c r="R26" s="484" t="n">
        <f aca="false">IF(ISTEXT(H26),"",(B26*$B$7/100)+(C26*$C$7/100))</f>
        <v>0.00455</v>
      </c>
      <c r="S26" s="485" t="n">
        <f aca="false">IF(OR(ISTEXT(H26),R26=0),"",IF(R26&lt;0.1,1,IF(R26&lt;1,2,IF(R26&lt;10,3,IF(R26&lt;50,4,IF(R26&gt;=50,5,""))))))</f>
        <v>1</v>
      </c>
      <c r="T26" s="485" t="n">
        <f aca="false">IF(ISERROR(S26*J26),0,S26*J26)</f>
        <v>13</v>
      </c>
      <c r="U26" s="485" t="n">
        <f aca="false">IF(ISERROR(S26*J26*K26),0,S26*J26*K26)</f>
        <v>26</v>
      </c>
      <c r="V26" s="501" t="n">
        <f aca="false">IF(ISERROR(S26*K26),0,S26*K26)</f>
        <v>2</v>
      </c>
      <c r="W26" s="502"/>
      <c r="X26" s="503"/>
      <c r="Y26" s="488" t="str">
        <f aca="false">IF(AND(ISNUMBER(F26),OR(A26="",A26="!!!!!!")),"!!!!!!",IF(A26="new.cod","NEWCOD",IF(AND((Z26=""),ISTEXT(A26),A26&lt;&gt;"!!!!!!"),A26,IF(Z26="","",INDEX('liste reference'!$A$6:$A$1174,Z26)))))</f>
        <v>PHOSPX</v>
      </c>
      <c r="Z26" s="470" t="n">
        <f aca="false">IF(ISERROR(MATCH(A26,'liste reference'!$A$6:$A$1174,0)),IF(ISERROR(MATCH(A26,'liste reference'!$B$6:$B$1174,0)),"",(MATCH(A26,'liste reference'!$B$6:$B$1174,0))),(MATCH(A26,'liste reference'!$A$6:$A$1174,0)))</f>
        <v>88</v>
      </c>
    </row>
    <row r="27" customFormat="false" ht="12.75" hidden="false" customHeight="false" outlineLevel="0" collapsed="false">
      <c r="A27" s="489" t="s">
        <v>343</v>
      </c>
      <c r="B27" s="490" t="n">
        <v>0.5</v>
      </c>
      <c r="C27" s="491" t="n">
        <v>1</v>
      </c>
      <c r="D27" s="492" t="str">
        <f aca="false">IF(ISERROR(VLOOKUP($A27,'liste reference'!$A$6:$B$1174,2,0)),IF(ISERROR(VLOOKUP($A27,'liste reference'!$B$6:$B$1174,1,0)),"",VLOOKUP($A27,'liste reference'!$B$6:$B$1174,1,0)),VLOOKUP($A27,'liste reference'!$A$6:$B$1174,2,0))</f>
        <v>Spirogyra sp.</v>
      </c>
      <c r="E27" s="493" t="e">
        <f aca="false">IF(D27="",0,VLOOKUP(D27,D$22:D26,1,0))</f>
        <v>#N/A</v>
      </c>
      <c r="F27" s="494" t="n">
        <f aca="false">IF(AND(OR(A27="",A27="!!!!!!"),B27="",C27=""),"",IF(OR(AND(B27="",C27=""),ISERROR(C27+B27)),"!!!",($B27*$B$7+$C27*$C$7)/100))</f>
        <v>0.545</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10</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Spirogyra sp.</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1147</v>
      </c>
      <c r="R27" s="484" t="n">
        <f aca="false">IF(ISTEXT(H27),"",(B27*$B$7/100)+(C27*$C$7/100))</f>
        <v>0.545</v>
      </c>
      <c r="S27" s="485" t="n">
        <f aca="false">IF(OR(ISTEXT(H27),R27=0),"",IF(R27&lt;0.1,1,IF(R27&lt;1,2,IF(R27&lt;10,3,IF(R27&lt;50,4,IF(R27&gt;=50,5,""))))))</f>
        <v>2</v>
      </c>
      <c r="T27" s="485" t="n">
        <f aca="false">IF(ISERROR(S27*J27),0,S27*J27)</f>
        <v>20</v>
      </c>
      <c r="U27" s="485" t="n">
        <f aca="false">IF(ISERROR(S27*J27*K27),0,S27*J27*K27)</f>
        <v>20</v>
      </c>
      <c r="V27" s="501" t="n">
        <f aca="false">IF(ISERROR(S27*K27),0,S27*K27)</f>
        <v>2</v>
      </c>
      <c r="W27" s="502"/>
      <c r="X27" s="503"/>
      <c r="Y27" s="488" t="str">
        <f aca="false">IF(AND(ISNUMBER(F27),OR(A27="",A27="!!!!!!")),"!!!!!!",IF(A27="new.cod","NEWCOD",IF(AND((Z27=""),ISTEXT(A27),A27&lt;&gt;"!!!!!!"),A27,IF(Z27="","",INDEX('liste reference'!$A$6:$A$1174,Z27)))))</f>
        <v>SPISPX</v>
      </c>
      <c r="Z27" s="470" t="n">
        <f aca="false">IF(ISERROR(MATCH(A27,'liste reference'!$A$6:$A$1174,0)),IF(ISERROR(MATCH(A27,'liste reference'!$B$6:$B$1174,0)),"",(MATCH(A27,'liste reference'!$B$6:$B$1174,0))),(MATCH(A27,'liste reference'!$A$6:$A$1174,0)))</f>
        <v>102</v>
      </c>
    </row>
    <row r="28" customFormat="false" ht="12.75" hidden="false" customHeight="false" outlineLevel="0" collapsed="false">
      <c r="A28" s="489" t="s">
        <v>348</v>
      </c>
      <c r="B28" s="490" t="n">
        <v>0.005</v>
      </c>
      <c r="C28" s="491"/>
      <c r="D28" s="492" t="str">
        <f aca="false">IF(ISERROR(VLOOKUP($A28,'liste reference'!$A$6:$B$1174,2,0)),IF(ISERROR(VLOOKUP($A28,'liste reference'!$B$6:$B$1174,1,0)),"",VLOOKUP($A28,'liste reference'!$B$6:$B$1174,1,0)),VLOOKUP($A28,'liste reference'!$A$6:$B$1174,2,0))</f>
        <v>Stigeoclonium sp. (excep. S. tenue)</v>
      </c>
      <c r="E28" s="493" t="e">
        <f aca="false">IF(D28="",0,VLOOKUP(D28,D$22:D27,1,0))</f>
        <v>#N/A</v>
      </c>
      <c r="F28" s="494" t="n">
        <f aca="false">IF(AND(OR(A28="",A28="!!!!!!"),B28="",C28=""),"",IF(OR(AND(B28="",C28=""),ISERROR(C28+B28)),"!!!",($B28*$B$7+$C28*$C$7)/100))</f>
        <v>0.00455</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13</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Stigeoclonium sp. (excep. S. tenue)</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1119</v>
      </c>
      <c r="R28" s="484" t="n">
        <f aca="false">IF(ISTEXT(H28),"",(B28*$B$7/100)+(C28*$C$7/100))</f>
        <v>0.00455</v>
      </c>
      <c r="S28" s="485" t="n">
        <f aca="false">IF(OR(ISTEXT(H28),R28=0),"",IF(R28&lt;0.1,1,IF(R28&lt;1,2,IF(R28&lt;10,3,IF(R28&lt;50,4,IF(R28&gt;=50,5,""))))))</f>
        <v>1</v>
      </c>
      <c r="T28" s="485" t="n">
        <f aca="false">IF(ISERROR(S28*J28),0,S28*J28)</f>
        <v>13</v>
      </c>
      <c r="U28" s="485" t="n">
        <f aca="false">IF(ISERROR(S28*J28*K28),0,S28*J28*K28)</f>
        <v>26</v>
      </c>
      <c r="V28" s="501" t="n">
        <f aca="false">IF(ISERROR(S28*K28),0,S28*K28)</f>
        <v>2</v>
      </c>
      <c r="W28" s="502"/>
      <c r="X28" s="503"/>
      <c r="Y28" s="488" t="str">
        <f aca="false">IF(AND(ISNUMBER(F28),OR(A28="",A28="!!!!!!")),"!!!!!!",IF(A28="new.cod","NEWCOD",IF(AND((Z28=""),ISTEXT(A28),A28&lt;&gt;"!!!!!!"),A28,IF(Z28="","",INDEX('liste reference'!$A$6:$A$1174,Z28)))))</f>
        <v>STISPX</v>
      </c>
      <c r="Z28" s="470" t="n">
        <f aca="false">IF(ISERROR(MATCH(A28,'liste reference'!$A$6:$A$1174,0)),IF(ISERROR(MATCH(A28,'liste reference'!$B$6:$B$1174,0)),"",(MATCH(A28,'liste reference'!$B$6:$B$1174,0))),(MATCH(A28,'liste reference'!$A$6:$A$1174,0)))</f>
        <v>104</v>
      </c>
    </row>
    <row r="29" customFormat="false" ht="12.75" hidden="false" customHeight="false" outlineLevel="0" collapsed="false">
      <c r="A29" s="489" t="s">
        <v>889</v>
      </c>
      <c r="B29" s="490" t="n">
        <v>0.02</v>
      </c>
      <c r="C29" s="491"/>
      <c r="D29" s="492" t="str">
        <f aca="false">IF(ISERROR(VLOOKUP($A29,'liste reference'!$A$6:$B$1174,2,0)),IF(ISERROR(VLOOKUP($A29,'liste reference'!$B$6:$B$1174,1,0)),"",VLOOKUP($A29,'liste reference'!$B$6:$B$1174,1,0)),VLOOKUP($A29,'liste reference'!$A$6:$B$1174,2,0))</f>
        <v>Fontinalis antipyretica</v>
      </c>
      <c r="E29" s="493" t="e">
        <f aca="false">IF(D29="",0,VLOOKUP(D29,D$22:D28,1,0))</f>
        <v>#N/A</v>
      </c>
      <c r="F29" s="494" t="n">
        <f aca="false">IF(AND(OR(A29="",A29="!!!!!!"),B29="",C29=""),"",IF(OR(AND(B29="",C29=""),ISERROR(C29+B29)),"!!!",($B29*$B$7+$C29*$C$7)/100))</f>
        <v>0.0182</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Fontinalis antipyretica</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1310</v>
      </c>
      <c r="R29" s="484" t="n">
        <f aca="false">IF(ISTEXT(H29),"",(B29*$B$7/100)+(C29*$C$7/100))</f>
        <v>0.0182</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FONANT</v>
      </c>
      <c r="Z29" s="470" t="n">
        <f aca="false">IF(ISERROR(MATCH(A29,'liste reference'!$A$6:$A$1174,0)),IF(ISERROR(MATCH(A29,'liste reference'!$B$6:$B$1174,0)),"",(MATCH(A29,'liste reference'!$B$6:$B$1174,0))),(MATCH(A29,'liste reference'!$A$6:$A$1174,0)))</f>
        <v>273</v>
      </c>
    </row>
    <row r="30" customFormat="false" ht="12.75" hidden="false" customHeight="false" outlineLevel="0" collapsed="false">
      <c r="A30" s="489" t="s">
        <v>1796</v>
      </c>
      <c r="B30" s="490" t="n">
        <v>1</v>
      </c>
      <c r="C30" s="491" t="n">
        <v>10</v>
      </c>
      <c r="D30" s="492" t="str">
        <f aca="false">IF(ISERROR(VLOOKUP($A30,'liste reference'!$A$6:$B$1174,2,0)),IF(ISERROR(VLOOKUP($A30,'liste reference'!$B$6:$B$1174,1,0)),"",VLOOKUP($A30,'liste reference'!$B$6:$B$1174,1,0)),VLOOKUP($A30,'liste reference'!$A$6:$B$1174,2,0))</f>
        <v>Ranunculus penicillatus except. var. calcareus</v>
      </c>
      <c r="E30" s="493" t="e">
        <f aca="false">IF(D30="",0,VLOOKUP(D30,D$22:D29,1,0))</f>
        <v>#N/A</v>
      </c>
      <c r="F30" s="494" t="n">
        <f aca="false">IF(AND(OR(A30="",A30="!!!!!!"),B30="",C30=""),"",IF(OR(AND(B30="",C30=""),ISERROR(C30+B30)),"!!!",($B30*$B$7+$C30*$C$7)/100))</f>
        <v>1.81</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Ranunculus penicillatus except. var. calcareus</v>
      </c>
      <c r="M30" s="498"/>
      <c r="N30" s="498"/>
      <c r="O30" s="498"/>
      <c r="P30" s="499" t="s">
        <v>3450</v>
      </c>
      <c r="Q30" s="500" t="n">
        <f aca="false">IF(OR($A30="NEWCOD",$A30="!!!!!!"),IF(X30="","NoCod",X30),IF($A30="","",IF(ISERROR(VLOOKUP($A30,'liste reference'!$A$6:$H$1174,8,0)),IF(ISERROR(VLOOKUP($A30,'liste reference'!$B$6:$H$1174,7,0)),"",VLOOKUP($A30,'liste reference'!$B$6:$H$1174,7,0)),VLOOKUP($A30,'liste reference'!$A$6:$H$1174,8,0))))</f>
        <v>1909</v>
      </c>
      <c r="R30" s="484" t="n">
        <f aca="false">IF(ISTEXT(H30),"",(B30*$B$7/100)+(C30*$C$7/100))</f>
        <v>1.81</v>
      </c>
      <c r="S30" s="485" t="n">
        <f aca="false">IF(OR(ISTEXT(H30),R30=0),"",IF(R30&lt;0.1,1,IF(R30&lt;1,2,IF(R30&lt;10,3,IF(R30&lt;50,4,IF(R30&gt;=50,5,""))))))</f>
        <v>3</v>
      </c>
      <c r="T30" s="485" t="n">
        <f aca="false">IF(ISERROR(S30*J30),0,S30*J30)</f>
        <v>36</v>
      </c>
      <c r="U30" s="485" t="n">
        <f aca="false">IF(ISERROR(S30*J30*K30),0,S30*J30*K30)</f>
        <v>36</v>
      </c>
      <c r="V30" s="501" t="n">
        <f aca="false">IF(ISERROR(S30*K30),0,S30*K30)</f>
        <v>3</v>
      </c>
      <c r="W30" s="502"/>
      <c r="X30" s="503"/>
      <c r="Y30" s="488" t="str">
        <f aca="false">IF(AND(ISNUMBER(F30),OR(A30="",A30="!!!!!!")),"!!!!!!",IF(A30="new.cod","NEWCOD",IF(AND((Z30=""),ISTEXT(A30),A30&lt;&gt;"!!!!!!"),A30,IF(Z30="","",INDEX('liste reference'!$A$6:$A$1174,Z30)))))</f>
        <v>RANPEU</v>
      </c>
      <c r="Z30" s="470" t="n">
        <f aca="false">IF(ISERROR(MATCH(A30,'liste reference'!$A$6:$A$1174,0)),IF(ISERROR(MATCH(A30,'liste reference'!$B$6:$B$1174,0)),"",(MATCH(A30,'liste reference'!$B$6:$B$1174,0))),(MATCH(A30,'liste reference'!$A$6:$A$1174,0)))</f>
        <v>571</v>
      </c>
    </row>
    <row r="31" customFormat="false" ht="12.75" hidden="false" customHeight="false" outlineLevel="0" collapsed="false">
      <c r="A31" s="489" t="s">
        <v>2051</v>
      </c>
      <c r="B31" s="490" t="n">
        <v>0.005</v>
      </c>
      <c r="C31" s="491" t="n">
        <v>0.2</v>
      </c>
      <c r="D31" s="492" t="str">
        <f aca="false">IF(ISERROR(VLOOKUP($A31,'liste reference'!$A$6:$B$1174,2,0)),IF(ISERROR(VLOOKUP($A31,'liste reference'!$B$6:$B$1174,1,0)),"",VLOOKUP($A31,'liste reference'!$B$6:$B$1174,1,0)),VLOOKUP($A31,'liste reference'!$A$6:$B$1174,2,0))</f>
        <v>Eleocharis palustris</v>
      </c>
      <c r="E31" s="493" t="e">
        <f aca="false">IF(D31="",0,VLOOKUP(D31,D$22:D30,1,0))</f>
        <v>#N/A</v>
      </c>
      <c r="F31" s="494" t="n">
        <f aca="false">IF(AND(OR(A31="",A31="!!!!!!"),B31="",C31=""),"",IF(OR(AND(B31="",C31=""),ISERROR(C31+B31)),"!!!",($B31*$B$7+$C31*$C$7)/100))</f>
        <v>0.02255</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12</v>
      </c>
      <c r="K31" s="497" t="n">
        <f aca="false">IF(ISNUMBER($H31),IF(ISERROR(VLOOKUP($A31,'liste reference'!$A$6:$Q$1174,7,0)),IF(ISERROR(VLOOKUP($A31,'liste reference'!$B$6:$Q$1174,6,0)),"nu",VLOOKUP($A31,'liste reference'!$B$6:$Q$1174,6,0)),VLOOKUP($A31,'liste reference'!$A$6:$Q$1174,7,0)),"nu")</f>
        <v>2</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Eleocharis palustris</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1506</v>
      </c>
      <c r="R31" s="484" t="n">
        <f aca="false">IF(ISTEXT(H31),"",(B31*$B$7/100)+(C31*$C$7/100))</f>
        <v>0.02255</v>
      </c>
      <c r="S31" s="485" t="n">
        <f aca="false">IF(OR(ISTEXT(H31),R31=0),"",IF(R31&lt;0.1,1,IF(R31&lt;1,2,IF(R31&lt;10,3,IF(R31&lt;50,4,IF(R31&gt;=50,5,""))))))</f>
        <v>1</v>
      </c>
      <c r="T31" s="485" t="n">
        <f aca="false">IF(ISERROR(S31*J31),0,S31*J31)</f>
        <v>12</v>
      </c>
      <c r="U31" s="485" t="n">
        <f aca="false">IF(ISERROR(S31*J31*K31),0,S31*J31*K31)</f>
        <v>24</v>
      </c>
      <c r="V31" s="501" t="n">
        <f aca="false">IF(ISERROR(S31*K31),0,S31*K31)</f>
        <v>2</v>
      </c>
      <c r="W31" s="502"/>
      <c r="X31" s="503"/>
      <c r="Y31" s="488" t="str">
        <f aca="false">IF(AND(ISNUMBER(F31),OR(A31="",A31="!!!!!!")),"!!!!!!",IF(A31="new.cod","NEWCOD",IF(AND((Z31=""),ISTEXT(A31),A31&lt;&gt;"!!!!!!"),A31,IF(Z31="","",INDEX('liste reference'!$A$6:$A$1174,Z31)))))</f>
        <v>ELEPAL</v>
      </c>
      <c r="Z31" s="470" t="n">
        <f aca="false">IF(ISERROR(MATCH(A31,'liste reference'!$A$6:$A$1174,0)),IF(ISERROR(MATCH(A31,'liste reference'!$B$6:$B$1174,0)),"",(MATCH(A31,'liste reference'!$B$6:$B$1174,0))),(MATCH(A31,'liste reference'!$A$6:$A$1174,0)))</f>
        <v>664</v>
      </c>
    </row>
    <row r="32" customFormat="false" ht="12.75" hidden="false" customHeight="false" outlineLevel="0" collapsed="false">
      <c r="A32" s="489" t="s">
        <v>2170</v>
      </c>
      <c r="B32" s="490" t="n">
        <v>0.005</v>
      </c>
      <c r="C32" s="491"/>
      <c r="D32" s="492" t="str">
        <f aca="false">IF(ISERROR(VLOOKUP($A32,'liste reference'!$A$6:$B$1174,2,0)),IF(ISERROR(VLOOKUP($A32,'liste reference'!$B$6:$B$1174,1,0)),"",VLOOKUP($A32,'liste reference'!$B$6:$B$1174,1,0)),VLOOKUP($A32,'liste reference'!$A$6:$B$1174,2,0))</f>
        <v>Phalaris arundinacea</v>
      </c>
      <c r="E32" s="493" t="e">
        <f aca="false">IF(D32="",0,VLOOKUP(D32,D$22:D31,1,0))</f>
        <v>#N/A</v>
      </c>
      <c r="F32" s="494" t="n">
        <f aca="false">IF(AND(OR(A32="",A32="!!!!!!"),B32="",C32=""),"",IF(OR(AND(B32="",C32=""),ISERROR(C32+B32)),"!!!",($B32*$B$7+$C32*$C$7)/100))</f>
        <v>0.00455</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8</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Phalaris arundinacea</v>
      </c>
      <c r="M32" s="498"/>
      <c r="N32" s="498"/>
      <c r="O32" s="498"/>
      <c r="P32" s="499" t="s">
        <v>3449</v>
      </c>
      <c r="Q32" s="500" t="n">
        <f aca="false">IF(OR($A32="NEWCOD",$A32="!!!!!!"),IF(X32="","NoCod",X32),IF($A32="","",IF(ISERROR(VLOOKUP($A32,'liste reference'!$A$6:$H$1174,8,0)),IF(ISERROR(VLOOKUP($A32,'liste reference'!$B$6:$H$1174,7,0)),"",VLOOKUP($A32,'liste reference'!$B$6:$H$1174,7,0)),VLOOKUP($A32,'liste reference'!$A$6:$H$1174,8,0))))</f>
        <v>1577</v>
      </c>
      <c r="R32" s="484" t="n">
        <f aca="false">IF(ISTEXT(H32),"",(B32*$B$7/100)+(C32*$C$7/100))</f>
        <v>0.00455</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PHAARU</v>
      </c>
      <c r="Z32" s="470" t="n">
        <f aca="false">IF(ISERROR(MATCH(A32,'liste reference'!$A$6:$A$1174,0)),IF(ISERROR(MATCH(A32,'liste reference'!$B$6:$B$1174,0)),"",(MATCH(A32,'liste reference'!$B$6:$B$1174,0))),(MATCH(A32,'liste reference'!$A$6:$A$1174,0)))</f>
        <v>707</v>
      </c>
    </row>
    <row r="33" customFormat="false" ht="12.75" hidden="false" customHeight="false" outlineLevel="0" collapsed="false">
      <c r="A33" s="489" t="s">
        <v>2688</v>
      </c>
      <c r="B33" s="490" t="n">
        <v>0.005</v>
      </c>
      <c r="C33" s="491"/>
      <c r="D33" s="492" t="str">
        <f aca="false">IF(ISERROR(VLOOKUP($A33,'liste reference'!$A$6:$B$1174,2,0)),IF(ISERROR(VLOOKUP($A33,'liste reference'!$B$6:$B$1174,1,0)),"",VLOOKUP($A33,'liste reference'!$B$6:$B$1174,1,0)),VLOOKUP($A33,'liste reference'!$A$6:$B$1174,2,0))</f>
        <v>Lysimachia vulgaris</v>
      </c>
      <c r="E33" s="493" t="e">
        <f aca="false">IF(D33="",0,VLOOKUP(D33,D$22:D32,1,0))</f>
        <v>#N/A</v>
      </c>
      <c r="F33" s="494" t="n">
        <f aca="false">IF(AND(OR(A33="",A33="!!!!!!"),B33="",C33=""),"",IF(OR(AND(B33="",C33=""),ISERROR(C33+B33)),"!!!",($B33*$B$7+$C33*$C$7)/100))</f>
        <v>0.00455</v>
      </c>
      <c r="G33" s="495" t="str">
        <f aca="false">IF(A33="","",IF(ISERROR(VLOOKUP($A33,'liste reference'!$A$6:$Q$1174,9,0)),IF(ISERROR(VLOOKUP($A33,'liste reference'!$B$6:$Q$1174,8,0)),"    -",VLOOKUP($A33,'liste reference'!$B$6:$Q$1174,8,0)),VLOOKUP($A33,'liste reference'!$A$6:$Q$1174,9,0)))</f>
        <v>PHg</v>
      </c>
      <c r="H33" s="496" t="n">
        <f aca="false">IF(A33="","x",IF(ISERROR(VLOOKUP($A33,'liste reference'!$A$6:$Q$1174,10,0)),IF(ISERROR(VLOOKUP($A33,'liste reference'!$B$6:$Q$1174,9,0)),"x",VLOOKUP($A33,'liste reference'!$B$6:$Q$1174,9,0)),VLOOKUP($A33,'liste reference'!$A$6:$Q$1174,10,0)))</f>
        <v>9</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Lysimachia vulgaris</v>
      </c>
      <c r="M33" s="498"/>
      <c r="N33" s="498"/>
      <c r="O33" s="498"/>
      <c r="P33" s="499" t="s">
        <v>3449</v>
      </c>
      <c r="Q33" s="500" t="n">
        <f aca="false">IF(OR($A33="NEWCOD",$A33="!!!!!!"),IF(X33="","NoCod",X33),IF($A33="","",IF(ISERROR(VLOOKUP($A33,'liste reference'!$A$6:$H$1174,8,0)),IF(ISERROR(VLOOKUP($A33,'liste reference'!$B$6:$H$1174,7,0)),"",VLOOKUP($A33,'liste reference'!$B$6:$H$1174,7,0)),VLOOKUP($A33,'liste reference'!$A$6:$H$1174,8,0))))</f>
        <v>1887</v>
      </c>
      <c r="R33" s="484" t="n">
        <f aca="false">IF(ISTEXT(H33),"",(B33*$B$7/100)+(C33*$C$7/100))</f>
        <v>0.00455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LYSVUL</v>
      </c>
      <c r="Z33" s="470" t="n">
        <f aca="false">IF(ISERROR(MATCH(A33,'liste reference'!$A$6:$A$1174,0)),IF(ISERROR(MATCH(A33,'liste reference'!$B$6:$B$1174,0)),"",(MATCH(A33,'liste reference'!$B$6:$B$1174,0))),(MATCH(A33,'liste reference'!$A$6:$A$1174,0)))</f>
        <v>899</v>
      </c>
    </row>
    <row r="34" customFormat="false" ht="12.75" hidden="false" customHeight="false" outlineLevel="0" collapsed="false">
      <c r="A34" s="489" t="s">
        <v>3050</v>
      </c>
      <c r="B34" s="490" t="n">
        <v>0.2</v>
      </c>
      <c r="C34" s="491" t="n">
        <v>0.3</v>
      </c>
      <c r="D34" s="492" t="str">
        <f aca="false">IF(ISERROR(VLOOKUP($A34,'liste reference'!$A$6:$B$1174,2,0)),IF(ISERROR(VLOOKUP($A34,'liste reference'!$B$6:$B$1174,1,0)),"",VLOOKUP($A34,'liste reference'!$B$6:$B$1174,1,0)),VLOOKUP($A34,'liste reference'!$A$6:$B$1174,2,0))</f>
        <v>Carex sp.</v>
      </c>
      <c r="E34" s="493" t="e">
        <f aca="false">IF(D34="",0,VLOOKUP(D34,D$22:D33,1,0))</f>
        <v>#N/A</v>
      </c>
      <c r="F34" s="494" t="n">
        <f aca="false">IF(AND(OR(A34="",A34="!!!!!!"),B34="",C34=""),"",IF(OR(AND(B34="",C34=""),ISERROR(C34+B34)),"!!!",($B34*$B$7+$C34*$C$7)/100))</f>
        <v>0.209</v>
      </c>
      <c r="G34" s="495" t="str">
        <f aca="false">IF(A34="","",IF(ISERROR(VLOOKUP($A34,'liste reference'!$A$6:$Q$1174,9,0)),IF(ISERROR(VLOOKUP($A34,'liste reference'!$B$6:$Q$1174,8,0)),"    -",VLOOKUP($A34,'liste reference'!$B$6:$Q$1174,8,0)),VLOOKUP($A34,'liste reference'!$A$6:$Q$1174,9,0)))</f>
        <v>PHx</v>
      </c>
      <c r="H34" s="496" t="n">
        <f aca="false">IF(A34="","x",IF(ISERROR(VLOOKUP($A34,'liste reference'!$A$6:$Q$1174,10,0)),IF(ISERROR(VLOOKUP($A34,'liste reference'!$B$6:$Q$1174,9,0)),"x",VLOOKUP($A34,'liste reference'!$B$6:$Q$1174,9,0)),VLOOKUP($A34,'liste reference'!$A$6:$Q$1174,10,0)))</f>
        <v>10</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Carex sp.</v>
      </c>
      <c r="M34" s="498"/>
      <c r="N34" s="498"/>
      <c r="O34" s="498"/>
      <c r="P34" s="499" t="s">
        <v>3449</v>
      </c>
      <c r="Q34" s="500" t="n">
        <f aca="false">IF(OR($A34="NEWCOD",$A34="!!!!!!"),IF(X34="","NoCod",X34),IF($A34="","",IF(ISERROR(VLOOKUP($A34,'liste reference'!$A$6:$H$1174,8,0)),IF(ISERROR(VLOOKUP($A34,'liste reference'!$B$6:$H$1174,7,0)),"",VLOOKUP($A34,'liste reference'!$B$6:$H$1174,7,0)),VLOOKUP($A34,'liste reference'!$A$6:$H$1174,8,0))))</f>
        <v>1466</v>
      </c>
      <c r="R34" s="484" t="n">
        <f aca="false">IF(ISTEXT(H34),"",(B34*$B$7/100)+(C34*$C$7/100))</f>
        <v>0.209</v>
      </c>
      <c r="S34" s="485" t="n">
        <f aca="false">IF(OR(ISTEXT(H34),R34=0),"",IF(R34&lt;0.1,1,IF(R34&lt;1,2,IF(R34&lt;10,3,IF(R34&lt;50,4,IF(R34&gt;=50,5,""))))))</f>
        <v>2</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CARSPX</v>
      </c>
      <c r="Z34" s="470" t="n">
        <f aca="false">IF(ISERROR(MATCH(A34,'liste reference'!$A$6:$A$1174,0)),IF(ISERROR(MATCH(A34,'liste reference'!$B$6:$B$1174,0)),"",(MATCH(A34,'liste reference'!$B$6:$B$1174,0))),(MATCH(A34,'liste reference'!$A$6:$A$1174,0)))</f>
        <v>1037</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19.31395</v>
      </c>
      <c r="G83" s="424"/>
      <c r="H83" s="424"/>
      <c r="I83" s="424"/>
      <c r="J83" s="424"/>
      <c r="K83" s="424"/>
      <c r="L83" s="424"/>
      <c r="M83" s="485"/>
      <c r="N83" s="485"/>
      <c r="O83" s="485"/>
      <c r="P83" s="485"/>
      <c r="Q83" s="485"/>
      <c r="R83" s="485"/>
      <c r="S83" s="485"/>
      <c r="T83" s="485"/>
      <c r="U83" s="485"/>
      <c r="V83" s="485" t="n">
        <f aca="false">SUM(V23:V82)</f>
        <v>19</v>
      </c>
      <c r="W83" s="485"/>
      <c r="X83" s="523"/>
      <c r="Y83" s="523"/>
      <c r="Z83" s="524"/>
    </row>
    <row r="84" customFormat="false" ht="12.75" hidden="true" customHeight="false" outlineLevel="0" collapsed="false">
      <c r="A84" s="518" t="str">
        <f aca="false">A3</f>
        <v>LE BES</v>
      </c>
      <c r="B84" s="453" t="str">
        <f aca="false">C3</f>
        <v>LE BES A SAINT-JUERY</v>
      </c>
      <c r="C84" s="525" t="str">
        <f aca="false">A4</f>
        <v>(Date)</v>
      </c>
      <c r="D84" s="526" t="n">
        <f aca="false">IF(OR(ISERROR(SUM($U$23:$U$82)/SUM($V$23:$V$82)),F7&lt;&gt;100),-1,SUM($U$23:$U$82)/SUM($V$23:$V$82))</f>
        <v>10.8421052631579</v>
      </c>
      <c r="E84" s="527" t="n">
        <f aca="false">O13</f>
        <v>12</v>
      </c>
      <c r="F84" s="453" t="n">
        <f aca="false">O14</f>
        <v>9</v>
      </c>
      <c r="G84" s="453" t="n">
        <f aca="false">O15</f>
        <v>5</v>
      </c>
      <c r="H84" s="453" t="n">
        <f aca="false">O16</f>
        <v>4</v>
      </c>
      <c r="I84" s="453" t="n">
        <f aca="false">O17</f>
        <v>0</v>
      </c>
      <c r="J84" s="528" t="n">
        <f aca="false">O8</f>
        <v>11.2222222222222</v>
      </c>
      <c r="K84" s="529" t="n">
        <f aca="false">O9</f>
        <v>2.43938871112224</v>
      </c>
      <c r="L84" s="530" t="n">
        <f aca="false">O10</f>
        <v>6</v>
      </c>
      <c r="M84" s="530" t="n">
        <f aca="false">O11</f>
        <v>15</v>
      </c>
      <c r="N84" s="529" t="n">
        <f aca="false">P8</f>
        <v>1.44444444444444</v>
      </c>
      <c r="O84" s="529" t="n">
        <f aca="false">P9</f>
        <v>0.496903994999953</v>
      </c>
      <c r="P84" s="530" t="n">
        <f aca="false">P10</f>
        <v>1</v>
      </c>
      <c r="Q84" s="530" t="n">
        <f aca="false">P11</f>
        <v>2</v>
      </c>
      <c r="R84" s="530" t="n">
        <f aca="false">F21</f>
        <v>19.31395</v>
      </c>
      <c r="S84" s="530" t="n">
        <f aca="false">L11</f>
        <v>0</v>
      </c>
      <c r="T84" s="530" t="n">
        <f aca="false">L12</f>
        <v>6</v>
      </c>
      <c r="U84" s="530" t="n">
        <f aca="false">L13</f>
        <v>1</v>
      </c>
      <c r="V84" s="531" t="n">
        <f aca="false">L15</f>
        <v>5</v>
      </c>
      <c r="W84" s="532" t="n">
        <f aca="false">L15</f>
        <v>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24</v>
      </c>
      <c r="U87" s="281"/>
      <c r="V87" s="281"/>
    </row>
    <row r="88" customFormat="false" ht="12.75" hidden="true" customHeight="false" outlineLevel="0" collapsed="false">
      <c r="C88" s="534"/>
      <c r="D88" s="534"/>
      <c r="E88" s="534"/>
      <c r="R88" s="281" t="s">
        <v>3453</v>
      </c>
      <c r="S88" s="281"/>
      <c r="T88" s="536" t="n">
        <f aca="false">VLOOKUP($T$91,($A$23:$U$82),21,0)</f>
        <v>24</v>
      </c>
      <c r="U88" s="281"/>
      <c r="V88" s="281" t="n">
        <f aca="false">COUNTIF(V23:V82,T89)</f>
        <v>1</v>
      </c>
    </row>
    <row r="89" customFormat="false" ht="12.75" hidden="true" customHeight="false" outlineLevel="0" collapsed="false">
      <c r="C89" s="534"/>
      <c r="D89" s="534"/>
      <c r="E89" s="534"/>
      <c r="R89" s="281" t="s">
        <v>3454</v>
      </c>
      <c r="S89" s="281"/>
      <c r="T89" s="536" t="n">
        <f aca="false">MAX($V$23:$V$82)</f>
        <v>4</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12.1333333333333</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CLASPX</v>
      </c>
      <c r="U91" s="281" t="n">
        <f aca="false">IF(ISERROR(MATCH($T$93,'liste reference'!$A$6:$A$1174,0)),MATCH($T$93,'liste reference'!$B$6:$B$1174,0),(MATCH($T$93,'liste reference'!$A$6:$A$1174,0)))</f>
        <v>35</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CLASPX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3488</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3403</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2017-02-17T15:16:27Z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