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14" sheetId="1" state="visible" r:id="rId3"/>
  </sheets>
  <externalReferences>
    <externalReference r:id="rId4"/>
  </externalReferences>
  <definedNames>
    <definedName function="false" hidden="false" localSheetId="0" name="_xlnm.Print_Area" vbProcedure="false">'14'!$A$1:$O$31</definedName>
    <definedName function="false" hidden="false" localSheetId="0" name="Excel_BuiltIn__FilterDatabase" vbProcedure="false">'14'!$A$23:$J$84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13</xdr:colOff>
                <xdr:row>2</xdr:row>
                <xdr:rowOff>5</xdr:rowOff>
              </xdr:from>
              <xdr:to>
                <xdr:col>5</xdr:col>
                <xdr:colOff>6</xdr:colOff>
                <xdr:row>3</xdr:row>
                <xdr:rowOff>11</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7</xdr:row>
                <xdr:rowOff>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<sst xmlns="http://schemas.openxmlformats.org/spreadsheetml/2006/main" count="95" uniqueCount="90">
  <si>
    <t xml:space="preserve">Relevés floristiques aquatiques - IBMR</t>
  </si>
  <si>
    <t xml:space="preserve">GIS Macrophytes - juillet 2006</t>
  </si>
  <si>
    <t xml:space="preserve">CARICAIE</t>
  </si>
  <si>
    <t xml:space="preserve">conforme AFNOR T90-395 oct. 2003</t>
  </si>
  <si>
    <t xml:space="preserve">LANDER</t>
  </si>
  <si>
    <t xml:space="preserve">SAINT GEORGES (AVAL ST FLOUR)</t>
  </si>
  <si>
    <t xml:space="preserve">05097200</t>
  </si>
  <si>
    <t xml:space="preserve">Aff. 11.42</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</si>
  <si>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</si>
  <si>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</si>
  <si>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</si>
  <si>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</si>
  <si>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</si>
  <si>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</si>
  <si>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</si>
  <si>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</si>
  <si>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radier</t>
  </si>
  <si>
    <t xml:space="preserve">pl. lent</t>
  </si>
  <si>
    <t xml:space="preserve">niv. trophique:</t>
  </si>
  <si>
    <t xml:space="preserve">moyen</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</si>
  <si>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</si>
  <si>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</si>
  <si>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</si>
  <si>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</si>
  <si>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</si>
  <si>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</si>
  <si>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</si>
  <si>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</si>
  <si>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</si>
  <si>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</si>
  <si>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</si>
  <si>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</si>
  <si>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</si>
  <si>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</si>
  <si>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</si>
  <si>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</si>
  <si>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</si>
  <si>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</si>
  <si>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</si>
  <si>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</si>
  <si>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</si>
  <si>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</si>
  <si>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</si>
  <si>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</si>
  <si>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</si>
  <si>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</si>
  <si>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</si>
  <si>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</si>
  <si>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</si>
  <si>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</si>
  <si>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</si>
  <si>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</si>
  <si>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</si>
  <si>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</si>
  <si>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</si>
  <si>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</si>
  <si>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</si>
  <si>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</si>
  <si>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</si>
  <si>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</si>
  <si>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</si>
  <si>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</si>
  <si>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</si>
  <si>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</si>
  <si>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</si>
  <si>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</si>
  <si>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</si>
  <si>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</si>
  <si>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</si>
  <si>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</si>
  <si>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</si>
  <si>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</si>
  <si>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</si>
  <si>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</si>
  <si>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LEA.SPX</t>
  </si>
  <si>
    <t xml:space="preserve">OSC.SPX</t>
  </si>
  <si>
    <t xml:space="preserve">RHI.SPX</t>
  </si>
  <si>
    <t xml:space="preserve">AGR.STO</t>
  </si>
  <si>
    <t xml:space="preserve">PHA.ARU</t>
  </si>
  <si>
    <t xml:space="preserve">SCI.SYL</t>
  </si>
  <si>
    <t xml:space="preserve">SPA.ERE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</si>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</sst>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1_Mphyt_11.42_IBMRADOUR-LOT30_JMI_calculs_$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1"/>
      <sheetName val="2"/>
      <sheetName val="3"/>
      <sheetName val="4"/>
      <sheetName val="5"/>
      <sheetName val="6"/>
      <sheetName val="7"/>
      <sheetName val="8"/>
      <sheetName val="9"/>
      <sheetName val="10"/>
      <sheetName val="11"/>
      <sheetName val="12"/>
      <sheetName val="13"/>
      <sheetName val="14"/>
      <sheetName val="15"/>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2</v>
      </c>
      <c r="D2" s="8"/>
      <c r="E2" s="14"/>
      <c r="F2" s="15"/>
      <c r="G2" s="15"/>
      <c r="H2" s="16"/>
      <c r="I2" s="15"/>
      <c r="J2" s="15"/>
      <c r="K2" s="15"/>
      <c r="L2" s="17"/>
      <c r="M2" s="18"/>
      <c r="N2" s="18"/>
      <c r="O2" s="19" t="s">
        <v>3</v>
      </c>
      <c r="P2" s="8"/>
      <c r="Q2" s="8"/>
      <c r="R2" s="8"/>
      <c r="S2" s="8"/>
      <c r="T2" s="8"/>
      <c r="U2" s="8"/>
      <c r="V2" s="20"/>
      <c r="W2" s="21"/>
    </row>
    <row r="3" customFormat="false" ht="12.75" hidden="false" customHeight="false" outlineLevel="0" collapsed="false">
      <c r="A3" s="11" t="s">
        <v>4</v>
      </c>
      <c r="B3" s="12"/>
      <c r="C3" s="11" t="s">
        <v>5</v>
      </c>
      <c r="D3" s="22"/>
      <c r="E3" s="22"/>
      <c r="F3" s="23"/>
      <c r="G3" s="23"/>
      <c r="H3" s="24"/>
      <c r="I3" s="25"/>
      <c r="J3" s="24"/>
      <c r="K3" s="26" t="s">
        <v>6</v>
      </c>
      <c r="L3" s="27"/>
      <c r="M3" s="28" t="s">
        <v>7</v>
      </c>
      <c r="N3" s="29"/>
      <c r="O3" s="30"/>
      <c r="P3" s="8"/>
      <c r="Q3" s="8"/>
      <c r="R3" s="8"/>
      <c r="S3" s="8"/>
      <c r="T3" s="8"/>
      <c r="U3" s="8"/>
      <c r="V3" s="20"/>
      <c r="W3" s="21"/>
    </row>
    <row r="4" customFormat="false" ht="12.75" hidden="false" customHeight="false" outlineLevel="0" collapsed="false">
      <c r="A4" s="31" t="n">
        <v>40758</v>
      </c>
      <c r="B4" s="32"/>
      <c r="C4" s="33"/>
      <c r="D4" s="34"/>
      <c r="E4" s="34"/>
      <c r="F4" s="33"/>
      <c r="G4" s="33"/>
      <c r="H4" s="34"/>
      <c r="I4" s="35" t="s">
        <v>8</v>
      </c>
      <c r="J4" s="36"/>
      <c r="K4" s="36"/>
      <c r="L4" s="37"/>
      <c r="M4" s="37"/>
      <c r="N4" s="38" t="s">
        <v>9</v>
      </c>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10.3846153846154</v>
      </c>
      <c r="M5" s="51"/>
      <c r="N5" s="52" t="s">
        <v>14</v>
      </c>
      <c r="O5" s="53" t="n">
        <v>9.54545454545455</v>
      </c>
      <c r="P5" s="8"/>
      <c r="Q5" s="8"/>
      <c r="R5" s="8"/>
      <c r="S5" s="8"/>
      <c r="T5" s="8"/>
      <c r="U5" s="8"/>
      <c r="V5" s="20"/>
      <c r="W5" s="40"/>
    </row>
    <row r="6" customFormat="false" ht="12.75" hidden="false" customHeight="false" outlineLevel="0" collapsed="false">
      <c r="A6" s="54" t="s">
        <v>15</v>
      </c>
      <c r="B6" s="55" t="s">
        <v>16</v>
      </c>
      <c r="C6" s="56" t="s">
        <v>17</v>
      </c>
      <c r="D6" s="44"/>
      <c r="E6" s="44"/>
      <c r="F6" s="45"/>
      <c r="G6" s="46"/>
      <c r="H6" s="44"/>
      <c r="I6" s="57" t="s">
        <v>18</v>
      </c>
      <c r="J6" s="58"/>
      <c r="K6" s="59"/>
      <c r="L6" s="60" t="s">
        <v>19</v>
      </c>
      <c r="M6" s="61"/>
      <c r="N6" s="62" t="s">
        <v>20</v>
      </c>
      <c r="O6" s="62"/>
      <c r="P6" s="8"/>
      <c r="Q6" s="8"/>
      <c r="R6" s="8"/>
      <c r="S6" s="8"/>
      <c r="T6" s="8"/>
      <c r="U6" s="8"/>
      <c r="V6" s="20"/>
      <c r="W6" s="21"/>
    </row>
    <row r="7" customFormat="false" ht="12.75" hidden="false" customHeight="false" outlineLevel="0" collapsed="false">
      <c r="A7" s="63" t="s">
        <v>21</v>
      </c>
      <c r="B7" s="64" t="n">
        <v>55</v>
      </c>
      <c r="C7" s="65" t="n">
        <v>45</v>
      </c>
      <c r="D7" s="66"/>
      <c r="E7" s="66"/>
      <c r="F7" s="67" t="n">
        <f aca="false">IF((OR((B7+C7=100),(B7+C7=0))),B7+C7,"ATTENTION")</f>
        <v>100</v>
      </c>
      <c r="G7" s="68"/>
      <c r="H7" s="66"/>
      <c r="I7" s="69"/>
      <c r="J7" s="70"/>
      <c r="K7" s="71"/>
      <c r="L7" s="72"/>
      <c r="M7" s="73"/>
      <c r="N7" s="74" t="s">
        <v>22</v>
      </c>
      <c r="O7" s="75" t="s">
        <v>23</v>
      </c>
      <c r="P7" s="8"/>
      <c r="Q7" s="8"/>
      <c r="R7" s="8"/>
      <c r="S7" s="8"/>
      <c r="T7" s="8"/>
      <c r="U7" s="8"/>
      <c r="V7" s="20"/>
      <c r="W7" s="21"/>
    </row>
    <row r="8" customFormat="false" ht="12.75" hidden="false" customHeight="false" outlineLevel="0" collapsed="false">
      <c r="A8" s="76" t="s">
        <v>24</v>
      </c>
      <c r="B8" s="76"/>
      <c r="C8" s="76"/>
      <c r="D8" s="66"/>
      <c r="E8" s="66"/>
      <c r="F8" s="77" t="s">
        <v>25</v>
      </c>
      <c r="G8" s="78"/>
      <c r="H8" s="79"/>
      <c r="I8" s="69"/>
      <c r="J8" s="70"/>
      <c r="K8" s="71"/>
      <c r="L8" s="72"/>
      <c r="M8" s="80" t="s">
        <v>26</v>
      </c>
      <c r="N8" s="81" t="n">
        <f aca="false">AVERAGE(I23:I82)</f>
        <v>10.1111111111111</v>
      </c>
      <c r="O8" s="82" t="n">
        <f aca="false">AVERAGE(J23:J82)</f>
        <v>1.44444444444444</v>
      </c>
      <c r="P8" s="8"/>
      <c r="Q8" s="8"/>
      <c r="R8" s="8"/>
      <c r="S8" s="8"/>
      <c r="T8" s="8"/>
      <c r="U8" s="8"/>
      <c r="V8" s="20"/>
      <c r="W8" s="21"/>
    </row>
    <row r="9" customFormat="false" ht="12.75" hidden="false" customHeight="false" outlineLevel="0" collapsed="false">
      <c r="A9" s="83" t="s">
        <v>27</v>
      </c>
      <c r="B9" s="84" t="n">
        <v>0.3</v>
      </c>
      <c r="C9" s="85" t="n">
        <v>0.15</v>
      </c>
      <c r="D9" s="86"/>
      <c r="E9" s="86"/>
      <c r="F9" s="87" t="n">
        <f aca="false">($B9*$B$7+$C9*$C$7)/100</f>
        <v>0.2325</v>
      </c>
      <c r="G9" s="88"/>
      <c r="H9" s="89"/>
      <c r="I9" s="90"/>
      <c r="J9" s="91"/>
      <c r="K9" s="71"/>
      <c r="L9" s="92"/>
      <c r="M9" s="80" t="s">
        <v>28</v>
      </c>
      <c r="N9" s="81" t="n">
        <f aca="false">STDEV(I23:I82)</f>
        <v>3.58623913189167</v>
      </c>
      <c r="O9" s="82" t="n">
        <f aca="false">STDEV(J23:J82)</f>
        <v>0.52704627669473</v>
      </c>
      <c r="P9" s="8"/>
      <c r="Q9" s="8"/>
      <c r="R9" s="8"/>
      <c r="S9" s="8"/>
      <c r="T9" s="8"/>
      <c r="U9" s="8"/>
      <c r="V9" s="93"/>
      <c r="W9" s="94"/>
    </row>
    <row r="10" customFormat="false" ht="12.75" hidden="false" customHeight="false" outlineLevel="0" collapsed="false">
      <c r="A10" s="95" t="s">
        <v>29</v>
      </c>
      <c r="B10" s="96" t="n">
        <v>0</v>
      </c>
      <c r="C10" s="97" t="n">
        <v>0</v>
      </c>
      <c r="D10" s="98"/>
      <c r="E10" s="98"/>
      <c r="F10" s="87" t="n">
        <f aca="false">($B10*$B$7+$C10*$C$7)/100</f>
        <v>0</v>
      </c>
      <c r="G10" s="88"/>
      <c r="H10" s="99"/>
      <c r="I10" s="100"/>
      <c r="J10" s="101" t="s">
        <v>30</v>
      </c>
      <c r="K10" s="101"/>
      <c r="L10" s="102"/>
      <c r="M10" s="103" t="s">
        <v>31</v>
      </c>
      <c r="N10" s="104" t="n">
        <f aca="false">MIN(I23:I82)</f>
        <v>4</v>
      </c>
      <c r="O10" s="105" t="n">
        <f aca="false">MIN(J23:J82)</f>
        <v>1</v>
      </c>
      <c r="P10" s="8"/>
      <c r="Q10" s="8"/>
      <c r="R10" s="8"/>
      <c r="S10" s="8"/>
      <c r="T10" s="8"/>
      <c r="U10" s="8"/>
    </row>
    <row r="11" customFormat="false" ht="12.75" hidden="false" customHeight="false" outlineLevel="0" collapsed="false">
      <c r="A11" s="106" t="s">
        <v>32</v>
      </c>
      <c r="B11" s="107" t="n">
        <v>0</v>
      </c>
      <c r="C11" s="108" t="n">
        <v>0</v>
      </c>
      <c r="D11" s="109"/>
      <c r="E11" s="109"/>
      <c r="F11" s="110" t="n">
        <f aca="false">($B11*$B$7+$C11*$C$7)/100</f>
        <v>0</v>
      </c>
      <c r="G11" s="111"/>
      <c r="H11" s="66"/>
      <c r="I11" s="112" t="s">
        <v>33</v>
      </c>
      <c r="J11" s="112"/>
      <c r="K11" s="113" t="n">
        <f aca="false">COUNTIF($G$23:$G$82,"=HET")</f>
        <v>0</v>
      </c>
      <c r="L11" s="114"/>
      <c r="M11" s="103" t="s">
        <v>34</v>
      </c>
      <c r="N11" s="104" t="n">
        <f aca="false">MAX(I23:I82)</f>
        <v>15</v>
      </c>
      <c r="O11" s="105" t="n">
        <f aca="false">MAX(J23:J82)</f>
        <v>2</v>
      </c>
      <c r="P11" s="8"/>
      <c r="Q11" s="8"/>
      <c r="R11" s="8"/>
      <c r="S11" s="8"/>
      <c r="T11" s="8"/>
      <c r="U11" s="8"/>
    </row>
    <row r="12" customFormat="false" ht="12.75" hidden="false" customHeight="false" outlineLevel="0" collapsed="false">
      <c r="A12" s="115" t="s">
        <v>35</v>
      </c>
      <c r="B12" s="116" t="n">
        <v>0.3</v>
      </c>
      <c r="C12" s="117" t="n">
        <v>0.1</v>
      </c>
      <c r="D12" s="109"/>
      <c r="E12" s="109"/>
      <c r="F12" s="110" t="n">
        <f aca="false">($B12*$B$7+$C12*$C$7)/100</f>
        <v>0.21</v>
      </c>
      <c r="G12" s="118"/>
      <c r="H12" s="66"/>
      <c r="I12" s="119" t="s">
        <v>36</v>
      </c>
      <c r="J12" s="119"/>
      <c r="K12" s="113" t="n">
        <f aca="false">COUNTIF($G$23:$G$82,"=ALG")</f>
        <v>5</v>
      </c>
      <c r="L12" s="120"/>
      <c r="M12" s="121"/>
      <c r="N12" s="122" t="s">
        <v>30</v>
      </c>
      <c r="O12" s="123"/>
      <c r="P12" s="8"/>
      <c r="Q12" s="8"/>
      <c r="R12" s="8"/>
      <c r="S12" s="8"/>
      <c r="T12" s="8"/>
      <c r="U12" s="8"/>
    </row>
    <row r="13" customFormat="false" ht="12.75" hidden="false" customHeight="false" outlineLevel="0" collapsed="false">
      <c r="A13" s="115" t="s">
        <v>37</v>
      </c>
      <c r="B13" s="116" t="n">
        <v>0</v>
      </c>
      <c r="C13" s="117" t="n">
        <v>0</v>
      </c>
      <c r="D13" s="109"/>
      <c r="E13" s="109"/>
      <c r="F13" s="110" t="n">
        <f aca="false">($B13*$B$7+$C13*$C$7)/100</f>
        <v>0</v>
      </c>
      <c r="G13" s="118"/>
      <c r="H13" s="66"/>
      <c r="I13" s="119" t="s">
        <v>38</v>
      </c>
      <c r="J13" s="119"/>
      <c r="K13" s="113" t="n">
        <f aca="false">COUNTIF($G$23:$G$82,"=BRm")+COUNTIF($G$23:$G$82,"=BRh")</f>
        <v>0</v>
      </c>
      <c r="L13" s="114"/>
      <c r="M13" s="124" t="s">
        <v>39</v>
      </c>
      <c r="N13" s="125" t="n">
        <f aca="false">COUNTIF(F23:F82,"&gt;0")</f>
        <v>9</v>
      </c>
      <c r="O13" s="126"/>
      <c r="P13" s="8"/>
      <c r="Q13" s="8"/>
      <c r="R13" s="8"/>
      <c r="S13" s="8"/>
      <c r="T13" s="8"/>
      <c r="U13" s="8"/>
    </row>
    <row r="14" customFormat="false" ht="12.75" hidden="false" customHeight="false" outlineLevel="0" collapsed="false">
      <c r="A14" s="115" t="s">
        <v>40</v>
      </c>
      <c r="B14" s="116" t="n">
        <v>0</v>
      </c>
      <c r="C14" s="117" t="n">
        <v>0</v>
      </c>
      <c r="D14" s="109"/>
      <c r="E14" s="109"/>
      <c r="F14" s="110" t="n">
        <f aca="false">($B14*$B$7+$C14*$C$7)/100</f>
        <v>0</v>
      </c>
      <c r="G14" s="118"/>
      <c r="H14" s="66"/>
      <c r="I14" s="119" t="s">
        <v>41</v>
      </c>
      <c r="J14" s="119"/>
      <c r="K14" s="113" t="n">
        <f aca="false">COUNTIF($G$23:$G$82,"=PTE")</f>
        <v>0</v>
      </c>
      <c r="L14" s="114"/>
      <c r="M14" s="127" t="s">
        <v>42</v>
      </c>
      <c r="N14" s="128" t="n">
        <f aca="false">COUNTIF($I$23:$I$82,"&gt;-1")</f>
        <v>9</v>
      </c>
      <c r="O14" s="129"/>
      <c r="P14" s="8"/>
      <c r="Q14" s="8"/>
      <c r="R14" s="8"/>
      <c r="S14" s="8"/>
      <c r="T14" s="8"/>
      <c r="U14" s="8"/>
    </row>
    <row r="15" customFormat="false" ht="12.75" hidden="false" customHeight="false" outlineLevel="0" collapsed="false">
      <c r="A15" s="130" t="s">
        <v>43</v>
      </c>
      <c r="B15" s="131" t="n">
        <v>0</v>
      </c>
      <c r="C15" s="132" t="n">
        <v>0.05</v>
      </c>
      <c r="D15" s="109"/>
      <c r="E15" s="109"/>
      <c r="F15" s="110" t="n">
        <f aca="false">($B15*$B$7+$C15*$C$7)/100</f>
        <v>0.0225</v>
      </c>
      <c r="G15" s="118"/>
      <c r="H15" s="66"/>
      <c r="I15" s="119" t="s">
        <v>44</v>
      </c>
      <c r="J15" s="119"/>
      <c r="K15" s="113" t="n">
        <f aca="false">(COUNTIF($G$23:$G$82,"=PHy"))+(COUNTIF($G$23:$G$82,"=PHe"))+(COUNTIF($G$23:$G$82,"=PHg"))+(COUNTIF($G$23:$G$82,"=PHx"))</f>
        <v>4</v>
      </c>
      <c r="L15" s="114"/>
      <c r="M15" s="133" t="s">
        <v>45</v>
      </c>
      <c r="N15" s="134" t="n">
        <f aca="false">COUNTIF(J23:J82,"=1")</f>
        <v>5</v>
      </c>
      <c r="O15" s="135"/>
      <c r="P15" s="8"/>
      <c r="Q15" s="8"/>
      <c r="R15" s="8"/>
      <c r="S15" s="8"/>
      <c r="T15" s="8"/>
      <c r="U15" s="8"/>
    </row>
    <row r="16" customFormat="false" ht="12.75" hidden="false" customHeight="false" outlineLevel="0" collapsed="false">
      <c r="A16" s="106" t="s">
        <v>46</v>
      </c>
      <c r="B16" s="107" t="n">
        <v>0</v>
      </c>
      <c r="C16" s="108" t="n">
        <v>0</v>
      </c>
      <c r="D16" s="136"/>
      <c r="E16" s="136"/>
      <c r="F16" s="137"/>
      <c r="G16" s="137" t="n">
        <f aca="false">($B16*$B$7+$C16*$C$7)/100</f>
        <v>0</v>
      </c>
      <c r="H16" s="66"/>
      <c r="I16" s="119"/>
      <c r="J16" s="138"/>
      <c r="K16" s="138"/>
      <c r="L16" s="114"/>
      <c r="M16" s="133" t="s">
        <v>47</v>
      </c>
      <c r="N16" s="134" t="n">
        <f aca="false">COUNTIF(J23:J82,"=2")</f>
        <v>4</v>
      </c>
      <c r="O16" s="135"/>
      <c r="P16" s="8"/>
      <c r="Q16" s="8"/>
      <c r="R16" s="8"/>
      <c r="S16" s="8"/>
      <c r="T16" s="8"/>
      <c r="U16" s="8"/>
    </row>
    <row r="17" customFormat="false" ht="12.75" hidden="false" customHeight="false" outlineLevel="0" collapsed="false">
      <c r="A17" s="115" t="s">
        <v>48</v>
      </c>
      <c r="B17" s="116" t="n">
        <v>0.3</v>
      </c>
      <c r="C17" s="117" t="n">
        <v>0.1</v>
      </c>
      <c r="D17" s="109"/>
      <c r="E17" s="109"/>
      <c r="F17" s="139"/>
      <c r="G17" s="110" t="n">
        <f aca="false">($B17*$B$7+$C17*$C$7)/100</f>
        <v>0.21</v>
      </c>
      <c r="H17" s="66"/>
      <c r="I17" s="119"/>
      <c r="J17" s="119"/>
      <c r="K17" s="138"/>
      <c r="L17" s="114"/>
      <c r="M17" s="133" t="s">
        <v>49</v>
      </c>
      <c r="N17" s="134" t="n">
        <f aca="false">COUNTIF(J23:J82,"=3")</f>
        <v>0</v>
      </c>
      <c r="O17" s="135"/>
      <c r="P17" s="8"/>
      <c r="Q17" s="8"/>
      <c r="R17" s="8"/>
      <c r="S17" s="8"/>
      <c r="T17" s="8"/>
      <c r="U17" s="8"/>
    </row>
    <row r="18" customFormat="false" ht="12.75" hidden="false" customHeight="false" outlineLevel="0" collapsed="false">
      <c r="A18" s="140" t="s">
        <v>50</v>
      </c>
      <c r="B18" s="141" t="n">
        <v>0</v>
      </c>
      <c r="C18" s="142" t="n">
        <v>0.05</v>
      </c>
      <c r="D18" s="109"/>
      <c r="E18" s="143" t="s">
        <v>51</v>
      </c>
      <c r="F18" s="139"/>
      <c r="G18" s="110" t="n">
        <f aca="false">($B18*$B$7+$C18*$C$7)/100</f>
        <v>0.0225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0.2325</v>
      </c>
      <c r="G19" s="151" t="n">
        <f aca="false">SUM(G16:G18)</f>
        <v>0.2325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52</v>
      </c>
      <c r="B20" s="159" t="n">
        <f aca="false">SUM(B23:B82)</f>
        <v>0.31</v>
      </c>
      <c r="C20" s="160" t="n">
        <f aca="false">SUM(C23:C82)</f>
        <v>0.15</v>
      </c>
      <c r="D20" s="161"/>
      <c r="E20" s="162" t="s">
        <v>51</v>
      </c>
      <c r="F20" s="163" t="n">
        <f aca="false">($B20*$B$7+$C20*$C$7)/100</f>
        <v>0.238</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0.1705</v>
      </c>
      <c r="C21" s="172" t="n">
        <f aca="false">C20*C7/100</f>
        <v>0.0675</v>
      </c>
      <c r="D21" s="109" t="str">
        <f aca="false">IF(F21=0,"",IF((ABS(F21-F19))&gt;(0.2*F21),CONCATENATE(" rec. par taxa (",F21," %) supérieur à 20 % !"),""))</f>
        <v/>
      </c>
      <c r="E21" s="173" t="str">
        <f aca="false">IF(F21=0,"",IF((ABS(F21-F19))&gt;(0.2*F21),CONCATENATE("ATTENTION : écart entre rec. par grp (",F19," %) ","et",""),""))</f>
        <v/>
      </c>
      <c r="F21" s="174" t="n">
        <f aca="false">B21+C21</f>
        <v>0.238</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0.15</v>
      </c>
      <c r="C23" s="196"/>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0.0825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0.0825</v>
      </c>
      <c r="Q23" s="207" t="n">
        <f aca="false">IF(OR(ISTEXT(H23),P23=0),"",IF(P23&lt;0.1,1,IF(P23&lt;1,2,IF(P23&lt;10,3,IF(P23&lt;50,4,IF(P23&gt;=50,5,""))))))</f>
        <v>1</v>
      </c>
      <c r="R23" s="207" t="n">
        <f aca="false">IF(ISERROR(Q23*I23),0,Q23*I23)</f>
        <v>6</v>
      </c>
      <c r="S23" s="207" t="n">
        <f aca="false">IF(ISERROR(Q23*I23*J23),0,Q23*I23*J23)</f>
        <v>6</v>
      </c>
      <c r="T23" s="207" t="n">
        <f aca="false">IF(ISERROR(Q23*J23),0,Q23*J23)</f>
        <v>1</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14</v>
      </c>
      <c r="B24" s="213" t="n">
        <v>0.01</v>
      </c>
      <c r="C24" s="214"/>
      <c r="D24" s="215" t="str">
        <f aca="false">IF(ISERROR(VLOOKUP($A24,'[1]liste reference'!$A$7:$D$906,2,0)),IF(ISERROR(VLOOKUP($A24,'[1]liste reference'!$B$7:$D$906,1,0)),"",VLOOKUP($A24,'[1]liste reference'!$B$7:$D$906,1,0)),VLOOKUP($A24,'[1]liste reference'!$A$7:$D$906,2,0))</f>
        <v>Hildenbrandia rivularis</v>
      </c>
      <c r="E24" s="215" t="e">
        <f aca="false">IF(D24="",0,VLOOKUP(D24,D$22:D23,1,0))</f>
        <v>#N/A</v>
      </c>
      <c r="F24" s="216" t="n">
        <f aca="false">($B24*$B$7+$C24*$C$7)/100</f>
        <v>0.0055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05"/>
      <c r="P24" s="206" t="n">
        <f aca="false">IF(ISTEXT(H24),"",(B24*$B$7/100)+(C24*$C$7/100))</f>
        <v>0.0055</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31</v>
      </c>
      <c r="Z24" s="210"/>
      <c r="AA24" s="211"/>
      <c r="BB24" s="8" t="n">
        <f aca="false">IF(A24="","",1)</f>
        <v>1</v>
      </c>
    </row>
    <row r="25" customFormat="false" ht="12.75" hidden="false" customHeight="false" outlineLevel="0" collapsed="false">
      <c r="A25" s="212" t="s">
        <v>74</v>
      </c>
      <c r="B25" s="213" t="n">
        <v>0.15</v>
      </c>
      <c r="C25" s="214"/>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0.0825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05"/>
      <c r="P25" s="206" t="n">
        <f aca="false">IF(ISTEXT(H25),"",(B25*$B$7/100)+(C25*$C$7/100))</f>
        <v>0.0825</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75</v>
      </c>
      <c r="B26" s="213"/>
      <c r="C26" s="214" t="n">
        <v>0.05</v>
      </c>
      <c r="D26" s="215" t="str">
        <f aca="false">IF(ISERROR(VLOOKUP($A26,'[1]liste reference'!$A$7:$D$906,2,0)),IF(ISERROR(VLOOKUP($A26,'[1]liste reference'!$B$7:$D$906,1,0)),"",VLOOKUP($A26,'[1]liste reference'!$B$7:$D$906,1,0)),VLOOKUP($A26,'[1]liste reference'!$A$7:$D$906,2,0))</f>
        <v>Oscillatoria sp.       </v>
      </c>
      <c r="E26" s="215" t="e">
        <f aca="false">IF(D26="",0,VLOOKUP(D26,D$22:D25,1,0))</f>
        <v>#N/A</v>
      </c>
      <c r="F26" s="216" t="n">
        <f aca="false">($B26*$B$7+$C26*$C$7)/100</f>
        <v>0.0225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Oscillatoria sp.       </v>
      </c>
      <c r="L26" s="220"/>
      <c r="M26" s="220"/>
      <c r="N26" s="220"/>
      <c r="O26" s="205"/>
      <c r="P26" s="206" t="n">
        <f aca="false">IF(ISTEXT(H26),"",(B26*$B$7/100)+(C26*$C$7/100))</f>
        <v>0.0225</v>
      </c>
      <c r="Q26" s="207" t="n">
        <f aca="false">IF(OR(ISTEXT(H26),P26=0),"",IF(P26&lt;0.1,1,IF(P26&lt;1,2,IF(P26&lt;10,3,IF(P26&lt;50,4,IF(P26&gt;=50,5,""))))))</f>
        <v>1</v>
      </c>
      <c r="R26" s="207" t="n">
        <f aca="false">IF(ISERROR(Q26*I26),0,Q26*I26)</f>
        <v>11</v>
      </c>
      <c r="S26" s="207" t="n">
        <f aca="false">IF(ISERROR(Q26*I26*J26),0,Q26*I26*J26)</f>
        <v>11</v>
      </c>
      <c r="T26" s="221" t="n">
        <f aca="false">IF(ISERROR(Q26*J26),0,Q26*J26)</f>
        <v>1</v>
      </c>
      <c r="U26" s="208" t="str">
        <f aca="false">IF(AND(A26="",F26=0),"",IF(F26=0,"Il manque le(s) % de rec. !",""))</f>
        <v/>
      </c>
      <c r="V26" s="209"/>
      <c r="X26" s="207" t="str">
        <f aca="false">IF(A26="new.cod","NEW.COD",IF(AND((Y26=""),ISTEXT(A26)),A26,IF(Y26="","",INDEX('[1]liste reference'!$A$7:$A$906,Y26))))</f>
        <v>OSC.SPX</v>
      </c>
      <c r="Y26" s="8" t="n">
        <f aca="false">IF(ISERROR(MATCH(A26,'[1]liste reference'!$A$7:$A$906,0)),IF(ISERROR(MATCH(A26,'[1]liste reference'!$B$7:$B$906,0)),"",(MATCH(A26,'[1]liste reference'!$B$7:$B$906,0))),(MATCH(A26,'[1]liste reference'!$A$7:$A$906,0)))</f>
        <v>57</v>
      </c>
      <c r="Z26" s="210"/>
      <c r="AA26" s="211"/>
      <c r="BB26" s="8" t="n">
        <f aca="false">IF(A26="","",1)</f>
        <v>1</v>
      </c>
    </row>
    <row r="27" customFormat="false" ht="12.75" hidden="false" customHeight="false" outlineLevel="0" collapsed="false">
      <c r="A27" s="212" t="s">
        <v>76</v>
      </c>
      <c r="B27" s="213"/>
      <c r="C27" s="214" t="n">
        <v>0.05</v>
      </c>
      <c r="D27" s="215" t="str">
        <f aca="false">IF(ISERROR(VLOOKUP($A27,'[1]liste reference'!$A$7:$D$906,2,0)),IF(ISERROR(VLOOKUP($A27,'[1]liste reference'!$B$7:$D$906,1,0)),"",VLOOKUP($A27,'[1]liste reference'!$B$7:$D$906,1,0)),VLOOKUP($A27,'[1]liste reference'!$A$7:$D$906,2,0))</f>
        <v>Rhizoclonium sp.       </v>
      </c>
      <c r="E27" s="215" t="e">
        <f aca="false">IF(D27="",0,VLOOKUP(D27,D$22:D26,1,0))</f>
        <v>#N/A</v>
      </c>
      <c r="F27" s="216" t="n">
        <f aca="false">($B27*$B$7+$C27*$C$7)/100</f>
        <v>0.0225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4</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Rhizoclonium sp.       </v>
      </c>
      <c r="L27" s="220"/>
      <c r="M27" s="220"/>
      <c r="N27" s="220"/>
      <c r="O27" s="205"/>
      <c r="P27" s="206" t="n">
        <f aca="false">IF(ISTEXT(H27),"",(B27*$B$7/100)+(C27*$C$7/100))</f>
        <v>0.0225</v>
      </c>
      <c r="Q27" s="207" t="n">
        <f aca="false">IF(OR(ISTEXT(H27),P27=0),"",IF(P27&lt;0.1,1,IF(P27&lt;1,2,IF(P27&lt;10,3,IF(P27&lt;50,4,IF(P27&gt;=50,5,""))))))</f>
        <v>1</v>
      </c>
      <c r="R27" s="207" t="n">
        <f aca="false">IF(ISERROR(Q27*I27),0,Q27*I27)</f>
        <v>4</v>
      </c>
      <c r="S27" s="207" t="n">
        <f aca="false">IF(ISERROR(Q27*I27*J27),0,Q27*I27*J27)</f>
        <v>8</v>
      </c>
      <c r="T27" s="221" t="n">
        <f aca="false">IF(ISERROR(Q27*J27),0,Q27*J27)</f>
        <v>2</v>
      </c>
      <c r="U27" s="208" t="str">
        <f aca="false">IF(AND(A27="",F27=0),"",IF(F27=0,"Il manque le(s) % de rec. !",""))</f>
        <v/>
      </c>
      <c r="V27" s="209"/>
      <c r="X27" s="207" t="str">
        <f aca="false">IF(A27="new.cod","NEW.COD",IF(AND((Y27=""),ISTEXT(A27)),A27,IF(Y27="","",INDEX('[1]liste reference'!$A$7:$A$906,Y27))))</f>
        <v>RHI.SPX</v>
      </c>
      <c r="Y27" s="8" t="n">
        <f aca="false">IF(ISERROR(MATCH(A27,'[1]liste reference'!$A$7:$A$906,0)),IF(ISERROR(MATCH(A27,'[1]liste reference'!$B$7:$B$906,0)),"",(MATCH(A27,'[1]liste reference'!$B$7:$B$906,0))),(MATCH(A27,'[1]liste reference'!$A$7:$A$906,0)))</f>
        <v>63</v>
      </c>
      <c r="Z27" s="210"/>
      <c r="AA27" s="211"/>
      <c r="BB27" s="8" t="n">
        <f aca="false">IF(A27="","",1)</f>
        <v>1</v>
      </c>
    </row>
    <row r="28" customFormat="false" ht="12.75" hidden="false" customHeight="false" outlineLevel="0" collapsed="false">
      <c r="A28" s="212" t="s">
        <v>77</v>
      </c>
      <c r="B28" s="213"/>
      <c r="C28" s="214" t="n">
        <v>0.01</v>
      </c>
      <c r="D28" s="215" t="str">
        <f aca="false">IF(ISERROR(VLOOKUP($A28,'[1]liste reference'!$A$7:$D$906,2,0)),IF(ISERROR(VLOOKUP($A28,'[1]liste reference'!$B$7:$D$906,1,0)),"",VLOOKUP($A28,'[1]liste reference'!$B$7:$D$906,1,0)),VLOOKUP($A28,'[1]liste reference'!$A$7:$D$906,2,0))</f>
        <v>Agrostis stolonifera</v>
      </c>
      <c r="E28" s="215" t="e">
        <f aca="false">IF(D28="",0,VLOOKUP(D28,D$22:D27,1,0))</f>
        <v>#N/A</v>
      </c>
      <c r="F28" s="216" t="n">
        <f aca="false">($B28*$B$7+$C28*$C$7)/100</f>
        <v>0.0045</v>
      </c>
      <c r="G28" s="217" t="str">
        <f aca="false">IF(A28="","",IF(ISERROR(VLOOKUP($A28,'[1]liste reference'!$A$7:$P$906,13,0)),IF(ISERROR(VLOOKUP($A28,'[1]liste reference'!$B$7:$P$906,12,0)),"    -",VLOOKUP($A28,'[1]liste reference'!$B$7:$P$906,12,0)),VLOOKUP($A28,'[1]liste reference'!$A$7:$P$906,13,0)))</f>
        <v>PHe</v>
      </c>
      <c r="H28" s="200" t="n">
        <f aca="false">IF(A28="","x",IF(ISERROR(VLOOKUP($A28,'[1]liste reference'!$A$7:$P$906,14,0)),IF(ISERROR(VLOOKUP($A28,'[1]liste reference'!$B$7:$P$906,13,0)),"x",VLOOKUP($A28,'[1]liste reference'!$B$7:$P$906,13,0)),VLOOKUP($A28,'[1]liste reference'!$A$7:$P$906,14,0)))</f>
        <v>8</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Agrostis stolonifera</v>
      </c>
      <c r="L28" s="220"/>
      <c r="M28" s="220"/>
      <c r="N28" s="220"/>
      <c r="O28" s="205"/>
      <c r="P28" s="206" t="n">
        <f aca="false">IF(ISTEXT(H28),"",(B28*$B$7/100)+(C28*$C$7/100))</f>
        <v>0.0045</v>
      </c>
      <c r="Q28" s="207" t="n">
        <f aca="false">IF(OR(ISTEXT(H28),P28=0),"",IF(P28&lt;0.1,1,IF(P28&lt;1,2,IF(P28&lt;10,3,IF(P28&lt;50,4,IF(P28&gt;=50,5,""))))))</f>
        <v>1</v>
      </c>
      <c r="R28" s="207" t="n">
        <f aca="false">IF(ISERROR(Q28*I28),0,Q28*I28)</f>
        <v>10</v>
      </c>
      <c r="S28" s="207" t="n">
        <f aca="false">IF(ISERROR(Q28*I28*J28),0,Q28*I28*J28)</f>
        <v>10</v>
      </c>
      <c r="T28" s="221" t="n">
        <f aca="false">IF(ISERROR(Q28*J28),0,Q28*J28)</f>
        <v>1</v>
      </c>
      <c r="U28" s="208" t="str">
        <f aca="false">IF(AND(A28="",F28=0),"",IF(F28=0,"Il manque le(s) % de rec. !",""))</f>
        <v/>
      </c>
      <c r="V28" s="209"/>
      <c r="X28" s="207" t="str">
        <f aca="false">IF(A28="new.cod","NEW.COD",IF(AND((Y28=""),ISTEXT(A28)),A28,IF(Y28="","",INDEX('[1]liste reference'!$A$7:$A$906,Y28))))</f>
        <v>AGR.STO</v>
      </c>
      <c r="Y28" s="8" t="n">
        <f aca="false">IF(ISERROR(MATCH(A28,'[1]liste reference'!$A$7:$A$906,0)),IF(ISERROR(MATCH(A28,'[1]liste reference'!$B$7:$B$906,0)),"",(MATCH(A28,'[1]liste reference'!$B$7:$B$906,0))),(MATCH(A28,'[1]liste reference'!$A$7:$A$906,0)))</f>
        <v>520</v>
      </c>
      <c r="Z28" s="210"/>
      <c r="AA28" s="211"/>
      <c r="BB28" s="8" t="n">
        <f aca="false">IF(A28="","",1)</f>
        <v>1</v>
      </c>
    </row>
    <row r="29" customFormat="false" ht="12.75" hidden="false" customHeight="false" outlineLevel="0" collapsed="false">
      <c r="A29" s="212" t="s">
        <v>78</v>
      </c>
      <c r="B29" s="213"/>
      <c r="C29" s="214" t="n">
        <v>0.01</v>
      </c>
      <c r="D29" s="215" t="str">
        <f aca="false">IF(ISERROR(VLOOKUP($A29,'[1]liste reference'!$A$7:$D$906,2,0)),IF(ISERROR(VLOOKUP($A29,'[1]liste reference'!$B$7:$D$906,1,0)),"",VLOOKUP($A29,'[1]liste reference'!$B$7:$D$906,1,0)),VLOOKUP($A29,'[1]liste reference'!$A$7:$D$906,2,0))</f>
        <v>Phalaris arundinacea</v>
      </c>
      <c r="E29" s="215" t="e">
        <f aca="false">IF(D29="",0,VLOOKUP(D29,D$22:D28,1,0))</f>
        <v>#N/A</v>
      </c>
      <c r="F29" s="216" t="n">
        <f aca="false">($B29*$B$7+$C29*$C$7)/100</f>
        <v>0.0045</v>
      </c>
      <c r="G29" s="217" t="str">
        <f aca="false">IF(A29="","",IF(ISERROR(VLOOKUP($A29,'[1]liste reference'!$A$7:$P$906,13,0)),IF(ISERROR(VLOOKUP($A29,'[1]liste reference'!$B$7:$P$906,12,0)),"    -",VLOOKUP($A29,'[1]liste reference'!$B$7:$P$906,12,0)),VLOOKUP($A29,'[1]liste reference'!$A$7:$P$906,13,0)))</f>
        <v>PHe</v>
      </c>
      <c r="H29" s="200" t="n">
        <f aca="false">IF(A29="","x",IF(ISERROR(VLOOKUP($A29,'[1]liste reference'!$A$7:$P$906,14,0)),IF(ISERROR(VLOOKUP($A29,'[1]liste reference'!$B$7:$P$906,13,0)),"x",VLOOKUP($A29,'[1]liste reference'!$B$7:$P$906,13,0)),VLOOKUP($A29,'[1]liste reference'!$A$7:$P$906,14,0)))</f>
        <v>8</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Phalaris arundinacea</v>
      </c>
      <c r="L29" s="220"/>
      <c r="M29" s="220"/>
      <c r="N29" s="220"/>
      <c r="O29" s="205"/>
      <c r="P29" s="206" t="n">
        <f aca="false">IF(ISTEXT(H29),"",(B29*$B$7/100)+(C29*$C$7/100))</f>
        <v>0.0045</v>
      </c>
      <c r="Q29" s="207" t="n">
        <f aca="false">IF(OR(ISTEXT(H29),P29=0),"",IF(P29&lt;0.1,1,IF(P29&lt;1,2,IF(P29&lt;10,3,IF(P29&lt;50,4,IF(P29&gt;=50,5,""))))))</f>
        <v>1</v>
      </c>
      <c r="R29" s="207" t="n">
        <f aca="false">IF(ISERROR(Q29*I29),0,Q29*I29)</f>
        <v>10</v>
      </c>
      <c r="S29" s="207" t="n">
        <f aca="false">IF(ISERROR(Q29*I29*J29),0,Q29*I29*J29)</f>
        <v>10</v>
      </c>
      <c r="T29" s="221" t="n">
        <f aca="false">IF(ISERROR(Q29*J29),0,Q29*J29)</f>
        <v>1</v>
      </c>
      <c r="U29" s="208" t="str">
        <f aca="false">IF(AND(A29="",F29=0),"",IF(F29=0,"Il manque le(s) % de rec. !",""))</f>
        <v/>
      </c>
      <c r="V29" s="209"/>
      <c r="X29" s="207" t="str">
        <f aca="false">IF(A29="new.cod","NEW.COD",IF(AND((Y29=""),ISTEXT(A29)),A29,IF(Y29="","",INDEX('[1]liste reference'!$A$7:$A$906,Y29))))</f>
        <v>PHA.ARU</v>
      </c>
      <c r="Y29" s="8" t="n">
        <f aca="false">IF(ISERROR(MATCH(A29,'[1]liste reference'!$A$7:$A$906,0)),IF(ISERROR(MATCH(A29,'[1]liste reference'!$B$7:$B$906,0)),"",(MATCH(A29,'[1]liste reference'!$B$7:$B$906,0))),(MATCH(A29,'[1]liste reference'!$A$7:$A$906,0)))</f>
        <v>640</v>
      </c>
      <c r="Z29" s="210"/>
      <c r="AA29" s="211"/>
      <c r="BB29" s="8" t="n">
        <f aca="false">IF(A29="","",1)</f>
        <v>1</v>
      </c>
    </row>
    <row r="30" customFormat="false" ht="12.75" hidden="false" customHeight="false" outlineLevel="0" collapsed="false">
      <c r="A30" s="212" t="s">
        <v>79</v>
      </c>
      <c r="B30" s="213"/>
      <c r="C30" s="214" t="n">
        <v>0.01</v>
      </c>
      <c r="D30" s="215" t="str">
        <f aca="false">IF(ISERROR(VLOOKUP($A30,'[1]liste reference'!$A$7:$D$906,2,0)),IF(ISERROR(VLOOKUP($A30,'[1]liste reference'!$B$7:$D$906,1,0)),"",VLOOKUP($A30,'[1]liste reference'!$B$7:$D$906,1,0)),VLOOKUP($A30,'[1]liste reference'!$A$7:$D$906,2,0))</f>
        <v>Scirpus sylvaticus</v>
      </c>
      <c r="E30" s="215" t="e">
        <f aca="false">IF(D30="",0,VLOOKUP(D30,D$21:D29,1,0))</f>
        <v>#N/A</v>
      </c>
      <c r="F30" s="216" t="n">
        <f aca="false">($B30*$B$7+$C30*$C$7)/100</f>
        <v>0.0045</v>
      </c>
      <c r="G30" s="217" t="str">
        <f aca="false">IF(A30="","",IF(ISERROR(VLOOKUP($A30,'[1]liste reference'!$A$7:$P$906,13,0)),IF(ISERROR(VLOOKUP($A30,'[1]liste reference'!$B$7:$P$906,12,0)),"    -",VLOOKUP($A30,'[1]liste reference'!$B$7:$P$906,12,0)),VLOOKUP($A30,'[1]liste reference'!$A$7:$P$906,13,0)))</f>
        <v>PHe</v>
      </c>
      <c r="H30" s="200" t="n">
        <f aca="false">IF(A30="","x",IF(ISERROR(VLOOKUP($A30,'[1]liste reference'!$A$7:$P$906,14,0)),IF(ISERROR(VLOOKUP($A30,'[1]liste reference'!$B$7:$P$906,13,0)),"x",VLOOKUP($A30,'[1]liste reference'!$B$7:$P$906,13,0)),VLOOKUP($A30,'[1]liste reference'!$A$7:$P$906,14,0)))</f>
        <v>8</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Scirpus sylvaticus</v>
      </c>
      <c r="L30" s="220"/>
      <c r="M30" s="220"/>
      <c r="N30" s="220"/>
      <c r="O30" s="205"/>
      <c r="P30" s="206" t="n">
        <f aca="false">IF(ISTEXT(H30),"",(B30*$B$7/100)+(C30*$C$7/100))</f>
        <v>0.0045</v>
      </c>
      <c r="Q30" s="207" t="n">
        <f aca="false">IF(OR(ISTEXT(H30),P30=0),"",IF(P30&lt;0.1,1,IF(P30&lt;1,2,IF(P30&lt;10,3,IF(P30&lt;50,4,IF(P30&gt;=50,5,""))))))</f>
        <v>1</v>
      </c>
      <c r="R30" s="207" t="n">
        <f aca="false">IF(ISERROR(Q30*I30),0,Q30*I30)</f>
        <v>10</v>
      </c>
      <c r="S30" s="207" t="n">
        <f aca="false">IF(ISERROR(Q30*I30*J30),0,Q30*I30*J30)</f>
        <v>20</v>
      </c>
      <c r="T30" s="221" t="n">
        <f aca="false">IF(ISERROR(Q30*J30),0,Q30*J30)</f>
        <v>2</v>
      </c>
      <c r="U30" s="208" t="str">
        <f aca="false">IF(AND(A30="",F30=0),"",IF(F30=0,"Il manque le(s) % de rec. !",""))</f>
        <v/>
      </c>
      <c r="V30" s="209"/>
      <c r="W30" s="222"/>
      <c r="X30" s="207" t="str">
        <f aca="false">IF(A30="new.cod","NEW.COD",IF(AND((Y30=""),ISTEXT(A30)),A30,IF(Y30="","",INDEX('[1]liste reference'!$A$7:$A$906,Y30))))</f>
        <v>SCI.SYL</v>
      </c>
      <c r="Y30" s="8" t="n">
        <f aca="false">IF(ISERROR(MATCH(A30,'[1]liste reference'!$A$7:$A$906,0)),IF(ISERROR(MATCH(A30,'[1]liste reference'!$B$7:$B$906,0)),"",(MATCH(A30,'[1]liste reference'!$B$7:$B$906,0))),(MATCH(A30,'[1]liste reference'!$A$7:$A$906,0)))</f>
        <v>671</v>
      </c>
      <c r="Z30" s="210"/>
      <c r="AA30" s="211"/>
      <c r="BB30" s="8" t="n">
        <f aca="false">IF(A30="","",1)</f>
        <v>1</v>
      </c>
    </row>
    <row r="31" customFormat="false" ht="12.75" hidden="false" customHeight="false" outlineLevel="0" collapsed="false">
      <c r="A31" s="212" t="s">
        <v>80</v>
      </c>
      <c r="B31" s="213"/>
      <c r="C31" s="214" t="n">
        <v>0.02</v>
      </c>
      <c r="D31" s="215" t="str">
        <f aca="false">IF(ISERROR(VLOOKUP($A31,'[1]liste reference'!$A$7:$D$906,2,0)),IF(ISERROR(VLOOKUP($A31,'[1]liste reference'!$B$7:$D$906,1,0)),"",VLOOKUP($A31,'[1]liste reference'!$B$7:$D$906,1,0)),VLOOKUP($A31,'[1]liste reference'!$A$7:$D$906,2,0))</f>
        <v>Sparganium erectum</v>
      </c>
      <c r="E31" s="215" t="e">
        <f aca="false">IF(D31="",0,VLOOKUP(D31,D$22:D30,1,0))</f>
        <v>#N/A</v>
      </c>
      <c r="F31" s="216" t="n">
        <f aca="false">($B31*$B$7+$C31*$C$7)/100</f>
        <v>0.009</v>
      </c>
      <c r="G31" s="217" t="str">
        <f aca="false">IF(A31="","",IF(ISERROR(VLOOKUP($A31,'[1]liste reference'!$A$7:$P$906,13,0)),IF(ISERROR(VLOOKUP($A31,'[1]liste reference'!$B$7:$P$906,12,0)),"    -",VLOOKUP($A31,'[1]liste reference'!$B$7:$P$906,12,0)),VLOOKUP($A31,'[1]liste reference'!$A$7:$P$906,13,0)))</f>
        <v>PHe</v>
      </c>
      <c r="H31" s="200" t="n">
        <f aca="false">IF(A31="","x",IF(ISERROR(VLOOKUP($A31,'[1]liste reference'!$A$7:$P$906,14,0)),IF(ISERROR(VLOOKUP($A31,'[1]liste reference'!$B$7:$P$906,13,0)),"x",VLOOKUP($A31,'[1]liste reference'!$B$7:$P$906,13,0)),VLOOKUP($A31,'[1]liste reference'!$A$7:$P$906,14,0)))</f>
        <v>8</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Sparganium erectum</v>
      </c>
      <c r="L31" s="220"/>
      <c r="M31" s="220"/>
      <c r="N31" s="220"/>
      <c r="O31" s="205"/>
      <c r="P31" s="206" t="n">
        <f aca="false">IF(ISTEXT(H31),"",(B31*$B$7/100)+(C31*$C$7/100))</f>
        <v>0.009</v>
      </c>
      <c r="Q31" s="207" t="n">
        <f aca="false">IF(OR(ISTEXT(H31),P31=0),"",IF(P31&lt;0.1,1,IF(P31&lt;1,2,IF(P31&lt;10,3,IF(P31&lt;50,4,IF(P31&gt;=50,5,""))))))</f>
        <v>1</v>
      </c>
      <c r="R31" s="207" t="n">
        <f aca="false">IF(ISERROR(Q31*I31),0,Q31*I31)</f>
        <v>10</v>
      </c>
      <c r="S31" s="207" t="n">
        <f aca="false">IF(ISERROR(Q31*I31*J31),0,Q31*I31*J31)</f>
        <v>10</v>
      </c>
      <c r="T31" s="221" t="n">
        <f aca="false">IF(ISERROR(Q31*J31),0,Q31*J31)</f>
        <v>1</v>
      </c>
      <c r="U31" s="208" t="str">
        <f aca="false">IF(AND(A31="",F31=0),"",IF(F31=0,"Il manque le(s) % de rec. !",""))</f>
        <v/>
      </c>
      <c r="V31" s="209"/>
      <c r="X31" s="207" t="str">
        <f aca="false">IF(A31="new.cod","NEW.COD",IF(AND((Y31=""),ISTEXT(A31)),A31,IF(Y31="","",INDEX('[1]liste reference'!$A$7:$A$906,Y31))))</f>
        <v>SPA.ERE</v>
      </c>
      <c r="Y31" s="8" t="n">
        <f aca="false">IF(ISERROR(MATCH(A31,'[1]liste reference'!$A$7:$A$906,0)),IF(ISERROR(MATCH(A31,'[1]liste reference'!$B$7:$B$906,0)),"",(MATCH(A31,'[1]liste reference'!$B$7:$B$906,0))),(MATCH(A31,'[1]liste reference'!$A$7:$A$906,0)))</f>
        <v>675</v>
      </c>
      <c r="Z31" s="210"/>
      <c r="AA31" s="211"/>
      <c r="BB31" s="8" t="n">
        <f aca="false">IF(A31="","",1)</f>
        <v>1</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IF(D32="",0,VLOOKUP(D32,D$22:D31,1,0))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0"/>
      <c r="M33" s="220"/>
      <c r="N33" s="220"/>
      <c r="O33" s="205"/>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W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3"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0"/>
      <c r="M34" s="220"/>
      <c r="N34" s="220"/>
      <c r="O34" s="205"/>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3"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W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3"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24"/>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3"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3"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3"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3"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3"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3"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3"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3"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3"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3"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3"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3"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3"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3"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3"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3"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3"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3"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IF(D58="",0,VLOOKUP(D58,D$22:D51,1,0))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IF(D59="",0,VLOOKUP(D59,D$22:D51,1,0))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IF(D61="",0,VLOOKUP(D61,D$22:D49,1,0))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IF(D63="",0,VLOOKUP(D63,D$22:D48,1,0))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IF(D68="",0,VLOOKUP(D68,D$22:D52,1,0))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IF(D69="",0,VLOOKUP(D69,D$22:D53,1,0))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IF(D70="",0,VLOOKUP(D70,D$22:D53,1,0))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IF(D71="",0,VLOOKUP(D71,D$22:D69,1,0))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IF(D72="",0,VLOOKUP(D72,D$22:D69,1,0))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IF(D73="",0,VLOOKUP(D73,D$22:D69,1,0))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IF(D74="",0,VLOOKUP(D74,D$22:D59,1,0))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IF(D75="",0,VLOOKUP(D75,D$22:D60,1,0))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IF(D76="",0,VLOOKUP(D76,D$22:D60,1,0))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IF(D78="",0,VLOOKUP(D78,D$21:D77,1,0))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5"/>
      <c r="M78" s="225"/>
      <c r="N78" s="225"/>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W78" s="226"/>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IF(D79="",0,VLOOKUP(D79,D$20:D77,1,0))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5"/>
      <c r="M79" s="225"/>
      <c r="N79" s="225"/>
      <c r="O79" s="227"/>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28"/>
      <c r="W79" s="22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5"/>
      <c r="M81" s="225"/>
      <c r="N81" s="225"/>
      <c r="O81" s="227"/>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81</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LANDER</v>
      </c>
      <c r="B84" s="246" t="str">
        <f aca="false">C3</f>
        <v>SAINT GEORGES (AVAL ST FLOUR)</v>
      </c>
      <c r="C84" s="247" t="n">
        <f aca="false">A4</f>
        <v>40758</v>
      </c>
      <c r="D84" s="248" t="n">
        <f aca="false">IF(ISERROR(SUM($S$23:$S$82)/SUM($T$23:$T$82)),"",SUM($S$23:$S$82)/SUM($T$23:$T$82))</f>
        <v>10.3846153846154</v>
      </c>
      <c r="E84" s="249" t="n">
        <f aca="false">N13</f>
        <v>9</v>
      </c>
      <c r="F84" s="246" t="n">
        <f aca="false">N14</f>
        <v>9</v>
      </c>
      <c r="G84" s="246" t="n">
        <f aca="false">N15</f>
        <v>5</v>
      </c>
      <c r="H84" s="246" t="n">
        <f aca="false">N16</f>
        <v>4</v>
      </c>
      <c r="I84" s="246" t="n">
        <f aca="false">N17</f>
        <v>0</v>
      </c>
      <c r="J84" s="250" t="n">
        <f aca="false">N8</f>
        <v>10.1111111111111</v>
      </c>
      <c r="K84" s="248" t="n">
        <f aca="false">N9</f>
        <v>3.58623913189167</v>
      </c>
      <c r="L84" s="249" t="n">
        <f aca="false">N10</f>
        <v>4</v>
      </c>
      <c r="M84" s="249" t="n">
        <f aca="false">N11</f>
        <v>15</v>
      </c>
      <c r="N84" s="248" t="n">
        <f aca="false">O8</f>
        <v>1.44444444444444</v>
      </c>
      <c r="O84" s="248" t="n">
        <f aca="false">O9</f>
        <v>0.52704627669473</v>
      </c>
      <c r="P84" s="249" t="n">
        <f aca="false">O10</f>
        <v>1</v>
      </c>
      <c r="Q84" s="249" t="n">
        <f aca="false">O11</f>
        <v>2</v>
      </c>
      <c r="R84" s="251" t="n">
        <f aca="false">F21</f>
        <v>0.238</v>
      </c>
      <c r="S84" s="249" t="n">
        <f aca="false">K11</f>
        <v>0</v>
      </c>
      <c r="T84" s="249" t="n">
        <f aca="false">K12</f>
        <v>5</v>
      </c>
      <c r="U84" s="249" t="n">
        <f aca="false">K13</f>
        <v>0</v>
      </c>
      <c r="V84" s="252" t="n">
        <f aca="false">K14</f>
        <v>0</v>
      </c>
      <c r="W84" s="253" t="n">
        <f aca="false">K15</f>
        <v>4</v>
      </c>
      <c r="Y84" s="226"/>
      <c r="Z84" s="226"/>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82</v>
      </c>
      <c r="Q86" s="8"/>
      <c r="R86" s="208"/>
      <c r="S86" s="8"/>
      <c r="T86" s="8"/>
      <c r="U86" s="8"/>
    </row>
    <row r="87" customFormat="false" ht="12.75" hidden="true" customHeight="false" outlineLevel="0" collapsed="false">
      <c r="P87" s="8" t="s">
        <v>83</v>
      </c>
      <c r="Q87" s="8"/>
      <c r="R87" s="208" t="n">
        <f aca="false">VLOOKUP(MAX($R$23:$R$82),($R$23:$T$82),1,0)</f>
        <v>15</v>
      </c>
      <c r="S87" s="8"/>
      <c r="T87" s="8"/>
      <c r="U87" s="8"/>
    </row>
    <row r="88" customFormat="false" ht="12.75" hidden="true" customHeight="false" outlineLevel="0" collapsed="false">
      <c r="P88" s="8" t="s">
        <v>84</v>
      </c>
      <c r="Q88" s="8"/>
      <c r="R88" s="208" t="n">
        <f aca="false">VLOOKUP((R87),($R$23:$T$82),2,0)</f>
        <v>30</v>
      </c>
      <c r="S88" s="8"/>
      <c r="T88" s="8"/>
      <c r="U88" s="8"/>
    </row>
    <row r="89" customFormat="false" ht="12.75" hidden="true" customHeight="false" outlineLevel="0" collapsed="false">
      <c r="P89" s="8" t="s">
        <v>85</v>
      </c>
      <c r="Q89" s="8"/>
      <c r="R89" s="208" t="n">
        <f aca="false">VLOOKUP((R87),($R$23:$T$82),3,0)</f>
        <v>2</v>
      </c>
      <c r="S89" s="8"/>
    </row>
    <row r="90" customFormat="false" ht="12.75" hidden="true" customHeight="false" outlineLevel="0" collapsed="false">
      <c r="P90" s="8" t="s">
        <v>86</v>
      </c>
      <c r="Q90" s="8"/>
      <c r="R90" s="255" t="n">
        <f aca="false">IF(ISERROR(SUM($S$23:$S$82)/SUM($T$23:$T$82)),"",(SUM($S$23:$S$82)-R88)/(SUM($T$23:$T$82)-R89))</f>
        <v>9.54545454545455</v>
      </c>
      <c r="S90" s="8"/>
    </row>
    <row r="91" customFormat="false" ht="12.75" hidden="true" customHeight="false" outlineLevel="0" collapsed="false">
      <c r="P91" s="207" t="s">
        <v>87</v>
      </c>
      <c r="Q91" s="207"/>
      <c r="R91" s="207" t="str">
        <f aca="false">INDEX('[1]liste reference'!$A$7:$A$906,$S$91)</f>
        <v>HIL.SPX</v>
      </c>
      <c r="S91" s="8" t="n">
        <f aca="false">IF(ISERROR(MATCH($R$93,'[1]liste reference'!$A$7:$A$906,0)),MATCH($R$93,'[1]liste reference'!$B$7:$B$906,0),(MATCH($R$93,'[1]liste reference'!$A$7:$A$906,0)))</f>
        <v>31</v>
      </c>
      <c r="T91" s="244"/>
    </row>
    <row r="92" customFormat="false" ht="12.75" hidden="true" customHeight="false" outlineLevel="0" collapsed="false">
      <c r="P92" s="8" t="s">
        <v>88</v>
      </c>
      <c r="Q92" s="8"/>
      <c r="R92" s="8" t="n">
        <f aca="false">MATCH(R87,$R$23:$R$82,0)</f>
        <v>2</v>
      </c>
      <c r="S92" s="8"/>
    </row>
    <row r="93" customFormat="false" ht="12.75" hidden="true" customHeight="false" outlineLevel="0" collapsed="false">
      <c r="P93" s="207" t="s">
        <v>89</v>
      </c>
      <c r="Q93" s="8"/>
      <c r="R93" s="207" t="str">
        <f aca="false">INDEX($A$23:$A$82,$R$92)</f>
        <v>HIL.SPX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2024-03-14T18:06:26Z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