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4" sheetId="1" state="visible" r:id="rId3"/>
  </sheets>
  <externalReferences>
    <externalReference r:id="rId4"/>
  </externalReferences>
  <definedNames>
    <definedName function="false" hidden="false" localSheetId="0" name="Excel_BuiltIn_Print_Area" vbProcedure="false">'54'!$A$1:$O$33</definedName>
    <definedName function="false" hidden="false" localSheetId="0" name="Excel_BuiltIn__FilterDatabase" vbProcedure="false">'54'!$A$23:$J$84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2</xdr:row>
                <xdr:rowOff>7</xdr:rowOff>
              </xdr:from>
              <xdr:to>
                <xdr:col>2</xdr:col>
                <xdr:colOff>56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<sst xmlns="http://schemas.openxmlformats.org/spreadsheetml/2006/main" count="106" uniqueCount="100">
  <si>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</si>
  <si>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</si>
  <si>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</si>
  <si>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</si>
  <si>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LANDER</t>
  </si>
  <si>
    <t xml:space="preserve">AVAL ST FLOUR (ST GEORGES)</t>
  </si>
  <si>
    <t xml:space="preserve">05097200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</si>
  <si>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</si>
  <si>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</si>
  <si>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</si>
  <si>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</si>
  <si>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</si>
  <si>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</si>
  <si>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</si>
  <si>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</si>
  <si>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</si>
  <si>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</si>
  <si>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</si>
  <si>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</si>
  <si>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</si>
  <si>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</si>
  <si>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</si>
  <si>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</si>
  <si>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</si>
  <si>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</si>
  <si>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</si>
  <si>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</si>
  <si>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</si>
  <si>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</si>
  <si>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</si>
  <si>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</si>
  <si>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</si>
  <si>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</si>
  <si>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</si>
  <si>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</si>
  <si>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</si>
  <si>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</si>
  <si>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</si>
  <si>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</si>
  <si>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</si>
  <si>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</si>
  <si>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</si>
  <si>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</si>
  <si>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</si>
  <si>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</si>
  <si>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</si>
  <si>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</si>
  <si>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</si>
  <si>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</si>
  <si>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</si>
  <si>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</si>
  <si>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</si>
  <si>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</si>
  <si>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</si>
  <si>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</si>
  <si>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</si>
  <si>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</si>
  <si>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</si>
  <si>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(100,000598802395 %) et</t>
  </si>
  <si>
    <t xml:space="preserve">rec. pondéré</t>
  </si>
  <si>
    <t xml:space="preserve">voir aussi colonne BB</t>
  </si>
  <si>
    <t xml:space="preserve"> rec. par taxa (1,545 %)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</si>
  <si>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</si>
  <si>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</si>
  <si>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</si>
  <si>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</si>
  <si>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</si>
  <si>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</si>
  <si>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</si>
  <si>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</si>
  <si>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</si>
  <si>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</si>
  <si>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</si>
  <si>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</si>
  <si>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</si>
  <si>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</si>
  <si>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</si>
  <si>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</si>
  <si>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</si>
  <si>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</si>
  <si>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</si>
  <si>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CLASPX</t>
  </si>
  <si>
    <t xml:space="preserve">HILSPX</t>
  </si>
  <si>
    <t xml:space="preserve">MELSPX</t>
  </si>
  <si>
    <t xml:space="preserve">OSCSPX</t>
  </si>
  <si>
    <t xml:space="preserve">AMBFLU</t>
  </si>
  <si>
    <t xml:space="preserve">SPAEML</t>
  </si>
  <si>
    <t xml:space="preserve">AGRSTO</t>
  </si>
  <si>
    <t xml:space="preserve">LYSVUL</t>
  </si>
  <si>
    <t xml:space="preserve">PHAARU</t>
  </si>
  <si>
    <t xml:space="preserve">SPAERE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</si>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</sst>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3_Mphyt_13.01_ADOUR-LOT3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41479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11.625</v>
      </c>
      <c r="M5" s="52"/>
      <c r="N5" s="53" t="s">
        <v>15</v>
      </c>
      <c r="O5" s="54" t="n">
        <v>10.5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50</v>
      </c>
      <c r="C7" s="66" t="n">
        <v>50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n">
        <f aca="false">IF(ISERROR(AVERAGE(I23:I82)),"     -",AVERAGE(I23:I82))</f>
        <v>10.5</v>
      </c>
      <c r="O8" s="83" t="n">
        <f aca="false">IF(ISERROR(AVERAGE(J23:J82)),"      -",AVERAGE(J23:J82))</f>
        <v>1.3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1.6</v>
      </c>
      <c r="C9" s="86" t="n">
        <v>1.4</v>
      </c>
      <c r="D9" s="87"/>
      <c r="E9" s="87"/>
      <c r="F9" s="88" t="n">
        <f aca="false">($B9*$B$7+$C9*$C$7)/100</f>
        <v>1.5</v>
      </c>
      <c r="G9" s="89"/>
      <c r="H9" s="90"/>
      <c r="I9" s="91"/>
      <c r="J9" s="92"/>
      <c r="K9" s="72"/>
      <c r="L9" s="93"/>
      <c r="M9" s="82" t="s">
        <v>29</v>
      </c>
      <c r="N9" s="83" t="n">
        <f aca="false">IF(ISERROR(STDEVP(I23:I82)),"     -",STDEVP(I23:I82))</f>
        <v>2.72946881279124</v>
      </c>
      <c r="O9" s="83" t="n">
        <f aca="false">IF(ISERROR(STDEVP(J23:J82)),"      -",STDEVP(J23:J82))</f>
        <v>0.458257569495584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 t="s">
        <v>31</v>
      </c>
      <c r="C10" s="98" t="s">
        <v>31</v>
      </c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6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 t="n">
        <v>0</v>
      </c>
      <c r="C11" s="109" t="n">
        <v>0</v>
      </c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15</v>
      </c>
      <c r="O11" s="105" t="n">
        <f aca="false">MAX(J23:J82)</f>
        <v>2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 t="n">
        <f aca="false">166/1.67</f>
        <v>99.4011976047904</v>
      </c>
      <c r="C12" s="118" t="n">
        <f aca="false">33/1.42</f>
        <v>23.2394366197183</v>
      </c>
      <c r="D12" s="110"/>
      <c r="E12" s="110"/>
      <c r="F12" s="111" t="n">
        <f aca="false">($B12*$B$7+$C12*$C$7)/100</f>
        <v>61.3203171122544</v>
      </c>
      <c r="G12" s="119"/>
      <c r="H12" s="67"/>
      <c r="I12" s="120" t="s">
        <v>38</v>
      </c>
      <c r="J12" s="120"/>
      <c r="K12" s="114" t="n">
        <f aca="false">COUNTIF($G$23:$G$82,"=ALG")</f>
        <v>5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 t="n">
        <v>0</v>
      </c>
      <c r="C13" s="118" t="n">
        <f aca="false">1/1.42</f>
        <v>0.704225352112676</v>
      </c>
      <c r="D13" s="110"/>
      <c r="E13" s="110"/>
      <c r="F13" s="111" t="n">
        <f aca="false">($B13*$B$7+$C13*$C$7)/100</f>
        <v>0.352112676056338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1</v>
      </c>
      <c r="L13" s="115"/>
      <c r="M13" s="126" t="s">
        <v>41</v>
      </c>
      <c r="N13" s="127" t="n">
        <f aca="false">COUNTIF(F23:F82,"&gt;0")</f>
        <v>11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 t="n">
        <v>0</v>
      </c>
      <c r="C14" s="118" t="n">
        <v>0</v>
      </c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10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 t="n">
        <v>0.6</v>
      </c>
      <c r="C15" s="135" t="n">
        <f aca="false">100-C13-C12</f>
        <v>76.056338028169</v>
      </c>
      <c r="D15" s="110"/>
      <c r="E15" s="110"/>
      <c r="F15" s="111" t="n">
        <f aca="false">($B15*$B$7+$C15*$C$7)/100</f>
        <v>38.3281690140845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5</v>
      </c>
      <c r="L15" s="115"/>
      <c r="M15" s="136" t="s">
        <v>47</v>
      </c>
      <c r="N15" s="137" t="n">
        <f aca="false">COUNTIF(J23:J82,"=1")</f>
        <v>7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 t="n">
        <v>0</v>
      </c>
      <c r="C16" s="109" t="n">
        <v>0</v>
      </c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3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 t="n">
        <v>99.4</v>
      </c>
      <c r="C17" s="118" t="n">
        <f aca="false">100-C18</f>
        <v>27.4647887323944</v>
      </c>
      <c r="D17" s="110"/>
      <c r="E17" s="110"/>
      <c r="F17" s="142"/>
      <c r="G17" s="111" t="n">
        <f aca="false">($B17*$B$7+$C17*$C$7)/100</f>
        <v>63.4323943661972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 t="n">
        <v>0.6</v>
      </c>
      <c r="C18" s="145" t="n">
        <f aca="false">103/1.42</f>
        <v>72.5352112676056</v>
      </c>
      <c r="D18" s="110"/>
      <c r="E18" s="146" t="s">
        <v>53</v>
      </c>
      <c r="F18" s="142"/>
      <c r="G18" s="111" t="n">
        <f aca="false">($B18*$B$7+$C18*$C$7)/100</f>
        <v>36.5676056338028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 t="s">
        <v>54</v>
      </c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>ATTENTION : le total par grp. floristiques doit être égal</v>
      </c>
      <c r="E19" s="154" t="str">
        <f aca="false">IF(G19=F19,"","au total par grp. Fonctionnels !")</f>
        <v>au total par grp. Fonctionnels !</v>
      </c>
      <c r="F19" s="155" t="n">
        <f aca="false">SUM(F11:F15)</f>
        <v>100.000598802395</v>
      </c>
      <c r="G19" s="155" t="n">
        <f aca="false">SUM(G16:G18)</f>
        <v>100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 t="s">
        <v>55</v>
      </c>
    </row>
    <row r="20" customFormat="false" ht="12.75" hidden="false" customHeight="false" outlineLevel="0" collapsed="false">
      <c r="A20" s="163" t="s">
        <v>56</v>
      </c>
      <c r="B20" s="164" t="n">
        <f aca="false">SUM(B23:B82)</f>
        <v>1.67</v>
      </c>
      <c r="C20" s="165" t="n">
        <f aca="false">SUM(C23:C82)</f>
        <v>1.42</v>
      </c>
      <c r="D20" s="166"/>
      <c r="E20" s="167" t="s">
        <v>53</v>
      </c>
      <c r="F20" s="168" t="n">
        <f aca="false">($B20*$B$7+$C20*$C$7)/100</f>
        <v>1.545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57</v>
      </c>
      <c r="R20" s="9"/>
      <c r="S20" s="9"/>
      <c r="T20" s="9"/>
      <c r="U20" s="9"/>
      <c r="V20" s="9"/>
      <c r="W20" s="149" t="s">
        <v>58</v>
      </c>
    </row>
    <row r="21" customFormat="false" ht="12.75" hidden="false" customHeight="false" outlineLevel="0" collapsed="false">
      <c r="A21" s="177" t="s">
        <v>59</v>
      </c>
      <c r="B21" s="178" t="n">
        <f aca="false">B20*B7/100</f>
        <v>0.835</v>
      </c>
      <c r="C21" s="178" t="n">
        <f aca="false">C20*C7/100</f>
        <v>0.71</v>
      </c>
      <c r="D21" s="110" t="str">
        <f aca="false">IF(F21=0,"",IF((ABS(F21-F19))&gt;(0.2*F21),CONCATENATE(" rec. par taxa (",F21," %) supérieur à 20 % !"),""))</f>
        <v> rec. par taxa (1,545 %) supérieur à 20 % !</v>
      </c>
      <c r="E21" s="179" t="str">
        <f aca="false">IF(F21=0,"",IF((ABS(F21-F19))&gt;(0.2*F21),CONCATENATE("ATTENTION : écart entre rec. par grp (",F19," %) ","et",""),""))</f>
        <v>ATTENTION : écart entre rec. par grp (100,000598802395 %) et</v>
      </c>
      <c r="F21" s="180" t="n">
        <f aca="false">B21+C21</f>
        <v>1.545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60</v>
      </c>
      <c r="R21" s="9"/>
      <c r="S21" s="9"/>
      <c r="T21" s="9"/>
      <c r="U21" s="9"/>
      <c r="V21" s="9"/>
      <c r="W21" s="149" t="s">
        <v>61</v>
      </c>
    </row>
    <row r="22" customFormat="false" ht="12.75" hidden="false" customHeight="false" outlineLevel="0" collapsed="false">
      <c r="A22" s="188" t="s">
        <v>62</v>
      </c>
      <c r="B22" s="189" t="s">
        <v>63</v>
      </c>
      <c r="C22" s="190" t="s">
        <v>63</v>
      </c>
      <c r="D22" s="139"/>
      <c r="E22" s="139"/>
      <c r="F22" s="191" t="s">
        <v>64</v>
      </c>
      <c r="G22" s="192" t="s">
        <v>65</v>
      </c>
      <c r="H22" s="139"/>
      <c r="I22" s="193" t="s">
        <v>66</v>
      </c>
      <c r="J22" s="193" t="s">
        <v>67</v>
      </c>
      <c r="K22" s="194" t="s">
        <v>68</v>
      </c>
      <c r="L22" s="194"/>
      <c r="M22" s="194"/>
      <c r="N22" s="194"/>
      <c r="O22" s="194"/>
      <c r="P22" s="195" t="s">
        <v>69</v>
      </c>
      <c r="Q22" s="196" t="s">
        <v>70</v>
      </c>
      <c r="R22" s="197" t="s">
        <v>71</v>
      </c>
      <c r="S22" s="198" t="s">
        <v>72</v>
      </c>
      <c r="T22" s="199" t="s">
        <v>73</v>
      </c>
      <c r="U22" s="200" t="s">
        <v>74</v>
      </c>
      <c r="V22" s="198" t="s">
        <v>75</v>
      </c>
      <c r="Y22" s="9" t="s">
        <v>76</v>
      </c>
      <c r="Z22" s="9" t="s">
        <v>77</v>
      </c>
      <c r="AA22" s="201" t="s">
        <v>78</v>
      </c>
      <c r="AB22" s="201" t="s">
        <v>79</v>
      </c>
      <c r="AC22" s="201" t="s">
        <v>80</v>
      </c>
    </row>
    <row r="23" customFormat="false" ht="12.75" hidden="false" customHeight="false" outlineLevel="0" collapsed="false">
      <c r="A23" s="202" t="s">
        <v>81</v>
      </c>
      <c r="B23" s="203" t="n">
        <v>0.15</v>
      </c>
      <c r="C23" s="204" t="n">
        <v>0.01</v>
      </c>
      <c r="D23" s="205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Cladophora sp.</v>
      </c>
      <c r="E23" s="205" t="e">
        <f aca="false">IF(D23="",0,VLOOKUP(D23,D$22:D22,1,0))</f>
        <v>#N/A</v>
      </c>
      <c r="F23" s="206" t="n">
        <f aca="false">($B23*$B$7+$C23*$C$7)/100</f>
        <v>0.08</v>
      </c>
      <c r="G23" s="207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8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9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6</v>
      </c>
      <c r="J23" s="209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1</v>
      </c>
      <c r="K23" s="210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Cladophora sp.</v>
      </c>
      <c r="L23" s="211"/>
      <c r="M23" s="211"/>
      <c r="N23" s="211"/>
      <c r="O23" s="212"/>
      <c r="P23" s="213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1124</v>
      </c>
      <c r="Q23" s="214" t="n">
        <f aca="false">IF(ISTEXT(H23),"",(B23*$B$7/100)+(C23*$C$7/100))</f>
        <v>0.08</v>
      </c>
      <c r="R23" s="215" t="n">
        <f aca="false">IF(OR(ISTEXT(H23),Q23=0),"",IF(Q23&lt;0.1,1,IF(Q23&lt;1,2,IF(Q23&lt;10,3,IF(Q23&lt;50,4,IF(Q23&gt;=50,5,""))))))</f>
        <v>1</v>
      </c>
      <c r="S23" s="215" t="n">
        <f aca="false">IF(ISERROR(R23*I23),0,R23*I23)</f>
        <v>6</v>
      </c>
      <c r="T23" s="215" t="n">
        <f aca="false">IF(ISERROR(R23*I23*J23),0,R23*I23*J23)</f>
        <v>6</v>
      </c>
      <c r="U23" s="215" t="n">
        <f aca="false">IF(ISERROR(R23*J23),0,R23*J23)</f>
        <v>1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IF(A23="new.cod","NEWCOD",IF(AND((Z23=""),ISTEXT(A23)),A23,IF(Z23="","",INDEX('[1]liste reference'!$A$8:$A$904,Z23))))</f>
        <v>CLASPX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23</v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82</v>
      </c>
      <c r="B24" s="221"/>
      <c r="C24" s="222" t="n">
        <v>0.01</v>
      </c>
      <c r="D24" s="205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Hildenbrandia sp.</v>
      </c>
      <c r="E24" s="223" t="e">
        <f aca="false">IF(D24="",0,VLOOKUP(D24,D$22:D23,1,0))</f>
        <v>#N/A</v>
      </c>
      <c r="F24" s="224" t="n">
        <f aca="false">($B24*$B$7+$C24*$C$7)/100</f>
        <v>0.005</v>
      </c>
      <c r="G24" s="207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ALG</v>
      </c>
      <c r="H24" s="208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2</v>
      </c>
      <c r="I24" s="209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15</v>
      </c>
      <c r="J24" s="209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2</v>
      </c>
      <c r="K24" s="210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Hildenbrandia sp.</v>
      </c>
      <c r="L24" s="225"/>
      <c r="M24" s="225"/>
      <c r="N24" s="225"/>
      <c r="O24" s="212"/>
      <c r="P24" s="213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1157</v>
      </c>
      <c r="Q24" s="214" t="n">
        <f aca="false">IF(ISTEXT(H24),"",(B24*$B$7/100)+(C24*$C$7/100))</f>
        <v>0.005</v>
      </c>
      <c r="R24" s="215" t="n">
        <f aca="false">IF(OR(ISTEXT(H24),Q24=0),"",IF(Q24&lt;0.1,1,IF(Q24&lt;1,2,IF(Q24&lt;10,3,IF(Q24&lt;50,4,IF(Q24&gt;=50,5,""))))))</f>
        <v>1</v>
      </c>
      <c r="S24" s="215" t="n">
        <f aca="false">IF(ISERROR(R24*I24),0,R24*I24)</f>
        <v>15</v>
      </c>
      <c r="T24" s="215" t="n">
        <f aca="false">IF(ISERROR(R24*I24*J24),0,R24*I24*J24)</f>
        <v>30</v>
      </c>
      <c r="U24" s="226" t="n">
        <f aca="false">IF(ISERROR(R24*J24),0,R24*J24)</f>
        <v>2</v>
      </c>
      <c r="V24" s="216" t="str">
        <f aca="false">IF(AND(A24="",F24=0),"",IF(F24=0,"Il manque le(s) % de rec. !",""))</f>
        <v/>
      </c>
      <c r="W24" s="217"/>
      <c r="X24" s="217"/>
      <c r="Y24" s="215" t="str">
        <f aca="false">IF(A24="new.cod","NEWCOD",IF(AND((Z24=""),ISTEXT(A24)),A24,IF(Z24="","",INDEX('[1]liste reference'!$A$8:$A$904,Z24))))</f>
        <v>HILSPX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30</v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15</v>
      </c>
      <c r="B25" s="221" t="n">
        <v>1.5</v>
      </c>
      <c r="C25" s="222" t="n">
        <v>0.3</v>
      </c>
      <c r="D25" s="205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Lemanea sp.</v>
      </c>
      <c r="E25" s="223" t="e">
        <f aca="false">IF(D25="",0,VLOOKUP(D25,D$22:D24,1,0))</f>
        <v>#N/A</v>
      </c>
      <c r="F25" s="224" t="n">
        <f aca="false">($B25*$B$7+$C25*$C$7)/100</f>
        <v>0.9</v>
      </c>
      <c r="G25" s="207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ALG</v>
      </c>
      <c r="H25" s="208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2</v>
      </c>
      <c r="I25" s="209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15</v>
      </c>
      <c r="J25" s="209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2</v>
      </c>
      <c r="K25" s="210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Lemanea sp.</v>
      </c>
      <c r="L25" s="225"/>
      <c r="M25" s="225"/>
      <c r="N25" s="225"/>
      <c r="O25" s="212"/>
      <c r="P25" s="213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1159</v>
      </c>
      <c r="Q25" s="214" t="n">
        <f aca="false">IF(ISTEXT(H25),"",(B25*$B$7/100)+(C25*$C$7/100))</f>
        <v>0.9</v>
      </c>
      <c r="R25" s="215" t="n">
        <f aca="false">IF(OR(ISTEXT(H25),Q25=0),"",IF(Q25&lt;0.1,1,IF(Q25&lt;1,2,IF(Q25&lt;10,3,IF(Q25&lt;50,4,IF(Q25&gt;=50,5,""))))))</f>
        <v>2</v>
      </c>
      <c r="S25" s="215" t="n">
        <f aca="false">IF(ISERROR(R25*I25),0,R25*I25)</f>
        <v>30</v>
      </c>
      <c r="T25" s="215" t="n">
        <f aca="false">IF(ISERROR(R25*I25*J25),0,R25*I25*J25)</f>
        <v>60</v>
      </c>
      <c r="U25" s="226" t="n">
        <f aca="false">IF(ISERROR(R25*J25),0,R25*J25)</f>
        <v>4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IF(A25="new.cod","NEWCOD",IF(AND((Z25=""),ISTEXT(A25)),A25,IF(Z25="","",INDEX('[1]liste reference'!$A$8:$A$904,Z25))))</f>
        <v>LEASPX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34</v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83</v>
      </c>
      <c r="B26" s="221" t="n">
        <v>0.01</v>
      </c>
      <c r="C26" s="222"/>
      <c r="D26" s="205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Melosira sp.</v>
      </c>
      <c r="E26" s="223" t="e">
        <f aca="false">IF(D26="",0,VLOOKUP(D26,D$22:D25,1,0))</f>
        <v>#N/A</v>
      </c>
      <c r="F26" s="224" t="n">
        <f aca="false">($B26*$B$7+$C26*$C$7)/100</f>
        <v>0.005</v>
      </c>
      <c r="G26" s="207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ALG</v>
      </c>
      <c r="H26" s="208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2</v>
      </c>
      <c r="I26" s="209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10</v>
      </c>
      <c r="J26" s="209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1</v>
      </c>
      <c r="K26" s="210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Melosira sp.</v>
      </c>
      <c r="L26" s="225"/>
      <c r="M26" s="225"/>
      <c r="N26" s="225"/>
      <c r="O26" s="212"/>
      <c r="P26" s="213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8714</v>
      </c>
      <c r="Q26" s="214" t="n">
        <f aca="false">IF(ISTEXT(H26),"",(B26*$B$7/100)+(C26*$C$7/100))</f>
        <v>0.005</v>
      </c>
      <c r="R26" s="215" t="n">
        <f aca="false">IF(OR(ISTEXT(H26),Q26=0),"",IF(Q26&lt;0.1,1,IF(Q26&lt;1,2,IF(Q26&lt;10,3,IF(Q26&lt;50,4,IF(Q26&gt;=50,5,""))))))</f>
        <v>1</v>
      </c>
      <c r="S26" s="215" t="n">
        <f aca="false">IF(ISERROR(R26*I26),0,R26*I26)</f>
        <v>10</v>
      </c>
      <c r="T26" s="215" t="n">
        <f aca="false">IF(ISERROR(R26*I26*J26),0,R26*I26*J26)</f>
        <v>10</v>
      </c>
      <c r="U26" s="226" t="n">
        <f aca="false">IF(ISERROR(R26*J26),0,R26*J26)</f>
        <v>1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IF(A26="new.cod","NEWCOD",IF(AND((Z26=""),ISTEXT(A26)),A26,IF(Z26="","",INDEX('[1]liste reference'!$A$8:$A$904,Z26))))</f>
        <v>MELSPX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36</v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/>
      <c r="C27" s="222" t="n">
        <v>0.01</v>
      </c>
      <c r="D27" s="205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Oscillatoria sp.</v>
      </c>
      <c r="E27" s="223" t="e">
        <f aca="false">IF(D27="",0,VLOOKUP(D27,D$22:D26,1,0))</f>
        <v>#N/A</v>
      </c>
      <c r="F27" s="224" t="n">
        <f aca="false">($B27*$B$7+$C27*$C$7)/100</f>
        <v>0.005</v>
      </c>
      <c r="G27" s="207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ALG</v>
      </c>
      <c r="H27" s="208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2</v>
      </c>
      <c r="I27" s="209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11</v>
      </c>
      <c r="J27" s="209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1</v>
      </c>
      <c r="K27" s="210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Oscillatoria sp.</v>
      </c>
      <c r="L27" s="225"/>
      <c r="M27" s="225"/>
      <c r="N27" s="225"/>
      <c r="O27" s="212"/>
      <c r="P27" s="213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1108</v>
      </c>
      <c r="Q27" s="214" t="n">
        <f aca="false">IF(ISTEXT(H27),"",(B27*$B$7/100)+(C27*$C$7/100))</f>
        <v>0.005</v>
      </c>
      <c r="R27" s="215" t="n">
        <f aca="false">IF(OR(ISTEXT(H27),Q27=0),"",IF(Q27&lt;0.1,1,IF(Q27&lt;1,2,IF(Q27&lt;10,3,IF(Q27&lt;50,4,IF(Q27&gt;=50,5,""))))))</f>
        <v>1</v>
      </c>
      <c r="S27" s="215" t="n">
        <f aca="false">IF(ISERROR(R27*I27),0,R27*I27)</f>
        <v>11</v>
      </c>
      <c r="T27" s="215" t="n">
        <f aca="false">IF(ISERROR(R27*I27*J27),0,R27*I27*J27)</f>
        <v>11</v>
      </c>
      <c r="U27" s="226" t="n">
        <f aca="false">IF(ISERROR(R27*J27),0,R27*J27)</f>
        <v>1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IF(A27="new.cod","NEWCOD",IF(AND((Z27=""),ISTEXT(A27)),A27,IF(Z27="","",INDEX('[1]liste reference'!$A$8:$A$904,Z27))))</f>
        <v>OSCSPX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56</v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/>
      <c r="C28" s="222" t="n">
        <v>0.01</v>
      </c>
      <c r="D28" s="205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Amblystegium fluviatile</v>
      </c>
      <c r="E28" s="223" t="e">
        <f aca="false">IF(D28="",0,VLOOKUP(D28,D$22:D27,1,0))</f>
        <v>#N/A</v>
      </c>
      <c r="F28" s="224" t="n">
        <f aca="false">($B28*$B$7+$C28*$C$7)/100</f>
        <v>0.005</v>
      </c>
      <c r="G28" s="207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BRm</v>
      </c>
      <c r="H28" s="208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5</v>
      </c>
      <c r="I28" s="209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11</v>
      </c>
      <c r="J28" s="209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2</v>
      </c>
      <c r="K28" s="210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Amblystegium fluviatile</v>
      </c>
      <c r="L28" s="225"/>
      <c r="M28" s="225"/>
      <c r="N28" s="225"/>
      <c r="O28" s="212"/>
      <c r="P28" s="213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1223</v>
      </c>
      <c r="Q28" s="214" t="n">
        <f aca="false">IF(ISTEXT(H28),"",(B28*$B$7/100)+(C28*$C$7/100))</f>
        <v>0.005</v>
      </c>
      <c r="R28" s="215" t="n">
        <f aca="false">IF(OR(ISTEXT(H28),Q28=0),"",IF(Q28&lt;0.1,1,IF(Q28&lt;1,2,IF(Q28&lt;10,3,IF(Q28&lt;50,4,IF(Q28&gt;=50,5,""))))))</f>
        <v>1</v>
      </c>
      <c r="S28" s="215" t="n">
        <f aca="false">IF(ISERROR(R28*I28),0,R28*I28)</f>
        <v>11</v>
      </c>
      <c r="T28" s="215" t="n">
        <f aca="false">IF(ISERROR(R28*I28*J28),0,R28*I28*J28)</f>
        <v>22</v>
      </c>
      <c r="U28" s="226" t="n">
        <f aca="false">IF(ISERROR(R28*J28),0,R28*J28)</f>
        <v>2</v>
      </c>
      <c r="V28" s="216" t="str">
        <f aca="false">IF(AND(A28="",F28=0),"",IF(F28=0,"Il manque le(s) % de rec. !",""))</f>
        <v/>
      </c>
      <c r="W28" s="227"/>
      <c r="Y28" s="215" t="str">
        <f aca="false">IF(A28="new.cod","NEWCOD",IF(AND((Z28=""),ISTEXT(A28)),A28,IF(Z28="","",INDEX('[1]liste reference'!$A$8:$A$904,Z28))))</f>
        <v>AMBFLU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147</v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/>
      <c r="C29" s="222" t="n">
        <v>0.05</v>
      </c>
      <c r="D29" s="205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Sparganium emersum fo. Longissimum</v>
      </c>
      <c r="E29" s="223" t="e">
        <f aca="false">IF(D29="",0,VLOOKUP(D29,D$22:D28,1,0))</f>
        <v>#N/A</v>
      </c>
      <c r="F29" s="224" t="n">
        <f aca="false">($B29*$B$7+$C29*$C$7)/100</f>
        <v>0.025</v>
      </c>
      <c r="G29" s="207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PHy</v>
      </c>
      <c r="H29" s="208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7</v>
      </c>
      <c r="I29" s="209" t="n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>7</v>
      </c>
      <c r="J29" s="209" t="n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>1</v>
      </c>
      <c r="K29" s="210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Sparganium emersum fo. Longissimum</v>
      </c>
      <c r="L29" s="225"/>
      <c r="M29" s="225"/>
      <c r="N29" s="225"/>
      <c r="O29" s="212"/>
      <c r="P29" s="213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19695</v>
      </c>
      <c r="Q29" s="214" t="n">
        <f aca="false">IF(ISTEXT(H29),"",(B29*$B$7/100)+(C29*$C$7/100))</f>
        <v>0.025</v>
      </c>
      <c r="R29" s="215" t="n">
        <f aca="false">IF(OR(ISTEXT(H29),Q29=0),"",IF(Q29&lt;0.1,1,IF(Q29&lt;1,2,IF(Q29&lt;10,3,IF(Q29&lt;50,4,IF(Q29&gt;=50,5,""))))))</f>
        <v>1</v>
      </c>
      <c r="S29" s="215" t="n">
        <f aca="false">IF(ISERROR(R29*I29),0,R29*I29)</f>
        <v>7</v>
      </c>
      <c r="T29" s="215" t="n">
        <f aca="false">IF(ISERROR(R29*I29*J29),0,R29*I29*J29)</f>
        <v>7</v>
      </c>
      <c r="U29" s="226" t="n">
        <f aca="false">IF(ISERROR(R29*J29),0,R29*J29)</f>
        <v>1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IF(A29="new.cod","NEWCOD",IF(AND((Z29=""),ISTEXT(A29)),A29,IF(Z29="","",INDEX('[1]liste reference'!$A$8:$A$904,Z29))))</f>
        <v>SPAEML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482</v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/>
      <c r="C30" s="222" t="n">
        <v>0.01</v>
      </c>
      <c r="D30" s="205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Agrostis stolonifera</v>
      </c>
      <c r="E30" s="223" t="e">
        <f aca="false">IF(D30="",0,VLOOKUP(D30,D$22:D29,1,0))</f>
        <v>#N/A</v>
      </c>
      <c r="F30" s="224" t="n">
        <f aca="false">($B30*$B$7+$C30*$C$7)/100</f>
        <v>0.005</v>
      </c>
      <c r="G30" s="207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PHe</v>
      </c>
      <c r="H30" s="208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8</v>
      </c>
      <c r="I30" s="209" t="n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>10</v>
      </c>
      <c r="J30" s="209" t="n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>1</v>
      </c>
      <c r="K30" s="210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Agrostis stolonifera</v>
      </c>
      <c r="L30" s="225"/>
      <c r="M30" s="225"/>
      <c r="N30" s="225"/>
      <c r="O30" s="212"/>
      <c r="P30" s="213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1543</v>
      </c>
      <c r="Q30" s="214" t="n">
        <f aca="false">IF(ISTEXT(H30),"",(B30*$B$7/100)+(C30*$C$7/100))</f>
        <v>0.005</v>
      </c>
      <c r="R30" s="215" t="n">
        <f aca="false">IF(OR(ISTEXT(H30),Q30=0),"",IF(Q30&lt;0.1,1,IF(Q30&lt;1,2,IF(Q30&lt;10,3,IF(Q30&lt;50,4,IF(Q30&gt;=50,5,""))))))</f>
        <v>1</v>
      </c>
      <c r="S30" s="215" t="n">
        <f aca="false">IF(ISERROR(R30*I30),0,R30*I30)</f>
        <v>10</v>
      </c>
      <c r="T30" s="215" t="n">
        <f aca="false">IF(ISERROR(R30*I30*J30),0,R30*I30*J30)</f>
        <v>10</v>
      </c>
      <c r="U30" s="226" t="n">
        <f aca="false">IF(ISERROR(R30*J30),0,R30*J30)</f>
        <v>1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IF(A30="new.cod","NEWCOD",IF(AND((Z30=""),ISTEXT(A30)),A30,IF(Z30="","",INDEX('[1]liste reference'!$A$8:$A$904,Z30))))</f>
        <v>AGRSTO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514</v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/>
      <c r="C31" s="222" t="n">
        <v>0.01</v>
      </c>
      <c r="D31" s="205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>Lysimachia vulgaris</v>
      </c>
      <c r="E31" s="223" t="e">
        <f aca="false">IF(D31="",0,VLOOKUP(D31,D$22:D30,1,0))</f>
        <v>#N/A</v>
      </c>
      <c r="F31" s="224" t="n">
        <f aca="false">($B31*$B$7+$C31*$C$7)/100</f>
        <v>0.005</v>
      </c>
      <c r="G31" s="207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>PHe</v>
      </c>
      <c r="H31" s="208" t="n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8</v>
      </c>
      <c r="I31" s="209" t="str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/>
      </c>
      <c r="J31" s="209" t="str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/>
      </c>
      <c r="K31" s="210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>Lysimachia vulgaris</v>
      </c>
      <c r="L31" s="225"/>
      <c r="M31" s="225"/>
      <c r="N31" s="225"/>
      <c r="O31" s="212"/>
      <c r="P31" s="213" t="n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>1887</v>
      </c>
      <c r="Q31" s="214" t="n">
        <f aca="false">IF(ISTEXT(H31),"",(B31*$B$7/100)+(C31*$C$7/100))</f>
        <v>0.005</v>
      </c>
      <c r="R31" s="215" t="n">
        <f aca="false">IF(OR(ISTEXT(H31),Q31=0),"",IF(Q31&lt;0.1,1,IF(Q31&lt;1,2,IF(Q31&lt;10,3,IF(Q31&lt;50,4,IF(Q31&gt;=50,5,""))))))</f>
        <v>1</v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IF(A31="new.cod","NEWCOD",IF(AND((Z31=""),ISTEXT(A31)),A31,IF(Z31="","",INDEX('[1]liste reference'!$A$8:$A$904,Z31))))</f>
        <v>LYSVUL</v>
      </c>
      <c r="Z31" s="9" t="n">
        <f aca="false">IF(ISERROR(MATCH(A31,'[1]liste reference'!$A$8:$A$904,0)),IF(ISERROR(MATCH(A31,'[1]liste reference'!$B$8:$B$904,0)),"",(MATCH(A31,'[1]liste reference'!$B$8:$B$904,0))),(MATCH(A31,'[1]liste reference'!$A$8:$A$904,0)))</f>
        <v>601</v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0.01</v>
      </c>
      <c r="C32" s="222" t="n">
        <v>0.01</v>
      </c>
      <c r="D32" s="205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>Phalaris arundinacea</v>
      </c>
      <c r="E32" s="223" t="e">
        <f aca="false">IF(D32="",0,VLOOKUP(D32,D$22:D31,1,0))</f>
        <v>#N/A</v>
      </c>
      <c r="F32" s="224" t="n">
        <f aca="false">($B32*$B$7+$C32*$C$7)/100</f>
        <v>0.01</v>
      </c>
      <c r="G32" s="207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>PHe</v>
      </c>
      <c r="H32" s="208" t="n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8</v>
      </c>
      <c r="I32" s="209" t="n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>10</v>
      </c>
      <c r="J32" s="209" t="n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>1</v>
      </c>
      <c r="K32" s="210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>Phalaris arundinacea</v>
      </c>
      <c r="L32" s="225"/>
      <c r="M32" s="225"/>
      <c r="N32" s="225"/>
      <c r="O32" s="212"/>
      <c r="P32" s="213" t="n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>1577</v>
      </c>
      <c r="Q32" s="214" t="n">
        <f aca="false">IF(ISTEXT(H32),"",(B32*$B$7/100)+(C32*$C$7/100))</f>
        <v>0.01</v>
      </c>
      <c r="R32" s="215" t="n">
        <f aca="false">IF(OR(ISTEXT(H32),Q32=0),"",IF(Q32&lt;0.1,1,IF(Q32&lt;1,2,IF(Q32&lt;10,3,IF(Q32&lt;50,4,IF(Q32&gt;=50,5,""))))))</f>
        <v>1</v>
      </c>
      <c r="S32" s="215" t="n">
        <f aca="false">IF(ISERROR(R32*I32),0,R32*I32)</f>
        <v>10</v>
      </c>
      <c r="T32" s="215" t="n">
        <f aca="false">IF(ISERROR(R32*I32*J32),0,R32*I32*J32)</f>
        <v>10</v>
      </c>
      <c r="U32" s="226" t="n">
        <f aca="false">IF(ISERROR(R32*J32),0,R32*J32)</f>
        <v>1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IF(A32="new.cod","NEWCOD",IF(AND((Z32=""),ISTEXT(A32)),A32,IF(Z32="","",INDEX('[1]liste reference'!$A$8:$A$904,Z32))))</f>
        <v>PHAARU</v>
      </c>
      <c r="Z32" s="9" t="n">
        <f aca="false">IF(ISERROR(MATCH(A32,'[1]liste reference'!$A$8:$A$904,0)),IF(ISERROR(MATCH(A32,'[1]liste reference'!$B$8:$B$904,0)),"",(MATCH(A32,'[1]liste reference'!$B$8:$B$904,0))),(MATCH(A32,'[1]liste reference'!$A$8:$A$904,0)))</f>
        <v>634</v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/>
      <c r="C33" s="222" t="n">
        <v>1</v>
      </c>
      <c r="D33" s="205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>Sparganium erectum</v>
      </c>
      <c r="E33" s="223" t="e">
        <f aca="false">IF(D33="",0,VLOOKUP(D33,D$22:D32,1,0))</f>
        <v>#N/A</v>
      </c>
      <c r="F33" s="224" t="n">
        <f aca="false">($B33*$B$7+$C33*$C$7)/100</f>
        <v>0.5</v>
      </c>
      <c r="G33" s="207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>PHe</v>
      </c>
      <c r="H33" s="208" t="n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8</v>
      </c>
      <c r="I33" s="209" t="n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>10</v>
      </c>
      <c r="J33" s="209" t="n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>1</v>
      </c>
      <c r="K33" s="210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>Sparganium erectum</v>
      </c>
      <c r="L33" s="225"/>
      <c r="M33" s="225"/>
      <c r="N33" s="225"/>
      <c r="O33" s="212"/>
      <c r="P33" s="213" t="n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>1671</v>
      </c>
      <c r="Q33" s="214" t="n">
        <f aca="false">IF(ISTEXT(H33),"",(B33*$B$7/100)+(C33*$C$7/100))</f>
        <v>0.5</v>
      </c>
      <c r="R33" s="215" t="n">
        <f aca="false">IF(OR(ISTEXT(H33),Q33=0),"",IF(Q33&lt;0.1,1,IF(Q33&lt;1,2,IF(Q33&lt;10,3,IF(Q33&lt;50,4,IF(Q33&gt;=50,5,""))))))</f>
        <v>2</v>
      </c>
      <c r="S33" s="215" t="n">
        <f aca="false">IF(ISERROR(R33*I33),0,R33*I33)</f>
        <v>20</v>
      </c>
      <c r="T33" s="215" t="n">
        <f aca="false">IF(ISERROR(R33*I33*J33),0,R33*I33*J33)</f>
        <v>20</v>
      </c>
      <c r="U33" s="226" t="n">
        <f aca="false">IF(ISERROR(R33*J33),0,R33*J33)</f>
        <v>2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IF(A33="new.cod","NEWCOD",IF(AND((Z33=""),ISTEXT(A33)),A33,IF(Z33="","",INDEX('[1]liste reference'!$A$8:$A$904,Z33))))</f>
        <v>SPAERE</v>
      </c>
      <c r="Z33" s="9" t="n">
        <f aca="false">IF(ISERROR(MATCH(A33,'[1]liste reference'!$A$8:$A$904,0)),IF(ISERROR(MATCH(A33,'[1]liste reference'!$B$8:$B$904,0)),"",(MATCH(A33,'[1]liste reference'!$B$8:$B$904,0))),(MATCH(A33,'[1]liste reference'!$A$8:$A$904,0)))</f>
        <v>668</v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7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/>
      </c>
      <c r="H34" s="208" t="str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x</v>
      </c>
      <c r="I34" s="209" t="str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/>
      </c>
      <c r="J34" s="209" t="str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/>
      </c>
      <c r="K34" s="210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/>
      </c>
      <c r="L34" s="225"/>
      <c r="M34" s="225"/>
      <c r="N34" s="225"/>
      <c r="O34" s="212"/>
      <c r="P34" s="213" t="str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IF(A34="new.cod","NEWCOD",IF(AND((Z34=""),ISTEXT(A34)),A34,IF(Z34="","",INDEX('[1]liste reference'!$A$8:$A$904,Z34))))</f>
        <v/>
      </c>
      <c r="Z34" s="9" t="str">
        <f aca="false">IF(ISERROR(MATCH(A34,'[1]liste reference'!$A$8:$A$904,0)),IF(ISERROR(MATCH(A34,'[1]liste reference'!$B$8:$B$904,0)),"",(MATCH(A34,'[1]liste reference'!$B$8:$B$904,0))),(MATCH(A34,'[1]liste reference'!$A$8:$A$904,0)))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7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/>
      </c>
      <c r="H35" s="208" t="str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x</v>
      </c>
      <c r="I35" s="209" t="str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/>
      </c>
      <c r="J35" s="209" t="str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/>
      </c>
      <c r="K35" s="210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/>
      </c>
      <c r="L35" s="225"/>
      <c r="M35" s="225"/>
      <c r="N35" s="225"/>
      <c r="O35" s="212"/>
      <c r="P35" s="213" t="str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IF(A35="new.cod","NEWCOD",IF(AND((Z35=""),ISTEXT(A35)),A35,IF(Z35="","",INDEX('[1]liste reference'!$A$8:$A$904,Z35))))</f>
        <v/>
      </c>
      <c r="Z35" s="9" t="str">
        <f aca="false">IF(ISERROR(MATCH(A35,'[1]liste reference'!$A$8:$A$904,0)),IF(ISERROR(MATCH(A35,'[1]liste reference'!$B$8:$B$904,0)),"",(MATCH(A35,'[1]liste reference'!$B$8:$B$904,0))),(MATCH(A35,'[1]liste reference'!$A$8:$A$904,0)))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7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/>
      </c>
      <c r="H36" s="208" t="str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x</v>
      </c>
      <c r="I36" s="209" t="str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/>
      </c>
      <c r="J36" s="209" t="str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/>
      </c>
      <c r="K36" s="210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/>
      </c>
      <c r="L36" s="225"/>
      <c r="M36" s="225"/>
      <c r="N36" s="225"/>
      <c r="O36" s="212"/>
      <c r="P36" s="213" t="str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IF(A36="new.cod","NEWCOD",IF(AND((Z36=""),ISTEXT(A36)),A36,IF(Z36="","",INDEX('[1]liste reference'!$A$8:$A$904,Z36))))</f>
        <v/>
      </c>
      <c r="Z36" s="9" t="str">
        <f aca="false">IF(ISERROR(MATCH(A36,'[1]liste reference'!$A$8:$A$904,0)),IF(ISERROR(MATCH(A36,'[1]liste reference'!$B$8:$B$904,0)),"",(MATCH(A36,'[1]liste reference'!$B$8:$B$904,0))),(MATCH(A36,'[1]liste reference'!$A$8:$A$904,0)))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7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/>
      </c>
      <c r="H37" s="208" t="str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x</v>
      </c>
      <c r="I37" s="209" t="str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/>
      </c>
      <c r="J37" s="209" t="str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/>
      </c>
      <c r="K37" s="210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/>
      </c>
      <c r="L37" s="225"/>
      <c r="M37" s="225"/>
      <c r="N37" s="225"/>
      <c r="O37" s="212"/>
      <c r="P37" s="213" t="str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IF(A37="new.cod","NEWCOD",IF(AND((Z37=""),ISTEXT(A37)),A37,IF(Z37="","",INDEX('[1]liste reference'!$A$8:$A$904,Z37))))</f>
        <v/>
      </c>
      <c r="Z37" s="9" t="str">
        <f aca="false">IF(ISERROR(MATCH(A37,'[1]liste reference'!$A$8:$A$904,0)),IF(ISERROR(MATCH(A37,'[1]liste reference'!$B$8:$B$904,0)),"",(MATCH(A37,'[1]liste reference'!$B$8:$B$904,0))),(MATCH(A37,'[1]liste reference'!$A$8:$A$904,0)))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7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/>
      </c>
      <c r="H38" s="208" t="str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x</v>
      </c>
      <c r="I38" s="209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9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10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/>
      </c>
      <c r="L38" s="225"/>
      <c r="M38" s="225"/>
      <c r="N38" s="225"/>
      <c r="O38" s="212"/>
      <c r="P38" s="213" t="str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IF(A38="new.cod","NEWCOD",IF(AND((Z38=""),ISTEXT(A38)),A38,IF(Z38="","",INDEX('[1]liste reference'!$A$8:$A$904,Z38))))</f>
        <v/>
      </c>
      <c r="Z38" s="9" t="str">
        <f aca="false">IF(ISERROR(MATCH(A38,'[1]liste reference'!$A$8:$A$904,0)),IF(ISERROR(MATCH(A38,'[1]liste reference'!$B$8:$B$904,0)),"",(MATCH(A38,'[1]liste reference'!$B$8:$B$904,0))),(MATCH(A38,'[1]liste reference'!$A$8:$A$904,0)))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7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8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9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9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10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5"/>
      <c r="M39" s="225"/>
      <c r="N39" s="225"/>
      <c r="O39" s="212"/>
      <c r="P39" s="213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7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8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9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9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10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5"/>
      <c r="M40" s="225"/>
      <c r="N40" s="225"/>
      <c r="O40" s="212"/>
      <c r="P40" s="213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7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8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9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9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10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5"/>
      <c r="M41" s="225"/>
      <c r="N41" s="225"/>
      <c r="O41" s="212"/>
      <c r="P41" s="213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7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8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9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9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10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5"/>
      <c r="M42" s="225"/>
      <c r="N42" s="225"/>
      <c r="O42" s="212"/>
      <c r="P42" s="213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7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8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9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9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10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5"/>
      <c r="M43" s="225"/>
      <c r="N43" s="225"/>
      <c r="O43" s="212"/>
      <c r="P43" s="213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7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8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9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9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10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5"/>
      <c r="M44" s="225"/>
      <c r="N44" s="225"/>
      <c r="O44" s="212"/>
      <c r="P44" s="213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7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8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9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9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10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5"/>
      <c r="M45" s="225"/>
      <c r="N45" s="225"/>
      <c r="O45" s="212"/>
      <c r="P45" s="213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7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8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9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9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10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5"/>
      <c r="M46" s="225"/>
      <c r="N46" s="225"/>
      <c r="O46" s="212"/>
      <c r="P46" s="213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7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8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9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9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10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5"/>
      <c r="M47" s="225"/>
      <c r="N47" s="225"/>
      <c r="O47" s="212"/>
      <c r="P47" s="213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7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8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9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9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10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5"/>
      <c r="M48" s="225"/>
      <c r="N48" s="225"/>
      <c r="O48" s="212"/>
      <c r="P48" s="213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7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8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9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9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10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5"/>
      <c r="M49" s="225"/>
      <c r="N49" s="225"/>
      <c r="O49" s="212"/>
      <c r="P49" s="213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7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8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9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9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10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5"/>
      <c r="M50" s="225"/>
      <c r="N50" s="225"/>
      <c r="O50" s="212"/>
      <c r="P50" s="213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7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8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9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9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10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5"/>
      <c r="M51" s="225"/>
      <c r="N51" s="225"/>
      <c r="O51" s="212"/>
      <c r="P51" s="213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7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8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9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9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10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5"/>
      <c r="M52" s="225"/>
      <c r="N52" s="225"/>
      <c r="O52" s="212"/>
      <c r="P52" s="213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7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8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9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9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10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5"/>
      <c r="M53" s="225"/>
      <c r="N53" s="225"/>
      <c r="O53" s="212"/>
      <c r="P53" s="213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7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8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9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9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10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5"/>
      <c r="M54" s="225"/>
      <c r="N54" s="225"/>
      <c r="O54" s="212"/>
      <c r="P54" s="213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7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8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9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9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10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5"/>
      <c r="M55" s="225"/>
      <c r="N55" s="225"/>
      <c r="O55" s="212"/>
      <c r="P55" s="213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7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8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9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9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10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5"/>
      <c r="M56" s="225"/>
      <c r="N56" s="225"/>
      <c r="O56" s="212"/>
      <c r="P56" s="213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7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8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9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9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10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5"/>
      <c r="M57" s="225"/>
      <c r="N57" s="225"/>
      <c r="O57" s="212"/>
      <c r="P57" s="213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7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8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9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9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10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25"/>
      <c r="M58" s="225"/>
      <c r="N58" s="225"/>
      <c r="O58" s="212"/>
      <c r="P58" s="213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7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8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9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9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10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30"/>
      <c r="M59" s="230"/>
      <c r="N59" s="230"/>
      <c r="O59" s="212"/>
      <c r="P59" s="231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7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8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9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9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10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30"/>
      <c r="M60" s="230"/>
      <c r="N60" s="230"/>
      <c r="O60" s="212"/>
      <c r="P60" s="231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7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8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9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9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10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5"/>
      <c r="M61" s="225"/>
      <c r="N61" s="225"/>
      <c r="O61" s="212"/>
      <c r="P61" s="213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7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8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9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9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10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5"/>
      <c r="M62" s="225"/>
      <c r="N62" s="225"/>
      <c r="O62" s="212"/>
      <c r="P62" s="213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3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9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9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10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5"/>
      <c r="M63" s="225"/>
      <c r="N63" s="225"/>
      <c r="O63" s="212"/>
      <c r="P63" s="213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5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9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9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10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5"/>
      <c r="M64" s="225"/>
      <c r="N64" s="225"/>
      <c r="O64" s="212"/>
      <c r="P64" s="213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5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9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9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10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5"/>
      <c r="M65" s="225"/>
      <c r="N65" s="225"/>
      <c r="O65" s="212"/>
      <c r="P65" s="213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5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9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9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10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5"/>
      <c r="M66" s="225"/>
      <c r="N66" s="225"/>
      <c r="O66" s="212"/>
      <c r="P66" s="213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5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9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9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10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5"/>
      <c r="M67" s="225"/>
      <c r="N67" s="225"/>
      <c r="O67" s="212"/>
      <c r="P67" s="213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5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9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9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10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5"/>
      <c r="M68" s="225"/>
      <c r="N68" s="225"/>
      <c r="O68" s="212"/>
      <c r="P68" s="213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5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9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9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10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5"/>
      <c r="M69" s="225"/>
      <c r="N69" s="225"/>
      <c r="O69" s="212"/>
      <c r="P69" s="213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5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9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9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10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5"/>
      <c r="M70" s="225"/>
      <c r="N70" s="225"/>
      <c r="O70" s="212"/>
      <c r="P70" s="213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5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9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9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10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5"/>
      <c r="M71" s="225"/>
      <c r="N71" s="225"/>
      <c r="O71" s="212"/>
      <c r="P71" s="213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5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9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9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10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5"/>
      <c r="M72" s="225"/>
      <c r="N72" s="225"/>
      <c r="O72" s="212"/>
      <c r="P72" s="213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5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9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9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10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5"/>
      <c r="M73" s="225"/>
      <c r="N73" s="225"/>
      <c r="O73" s="212"/>
      <c r="P73" s="213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5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9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9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10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5"/>
      <c r="M74" s="225"/>
      <c r="N74" s="225"/>
      <c r="O74" s="212"/>
      <c r="P74" s="213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5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9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9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10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5"/>
      <c r="M75" s="225"/>
      <c r="N75" s="225"/>
      <c r="O75" s="212"/>
      <c r="P75" s="213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5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9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9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10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5"/>
      <c r="M76" s="225"/>
      <c r="N76" s="225"/>
      <c r="O76" s="212"/>
      <c r="P76" s="213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5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9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9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10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5"/>
      <c r="M77" s="225"/>
      <c r="N77" s="225"/>
      <c r="O77" s="212"/>
      <c r="P77" s="213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5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9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9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10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5"/>
      <c r="M78" s="225"/>
      <c r="N78" s="225"/>
      <c r="O78" s="212"/>
      <c r="P78" s="213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5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9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9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10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5"/>
      <c r="M79" s="225"/>
      <c r="N79" s="225"/>
      <c r="O79" s="212"/>
      <c r="P79" s="213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5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9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9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10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5"/>
      <c r="M80" s="225"/>
      <c r="N80" s="225"/>
      <c r="O80" s="212"/>
      <c r="P80" s="213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5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9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9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10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30"/>
      <c r="M81" s="230"/>
      <c r="N81" s="230"/>
      <c r="O81" s="212"/>
      <c r="P81" s="213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4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9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9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5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LANDER</v>
      </c>
      <c r="B84" s="256" t="str">
        <f aca="false">C3</f>
        <v>AVAL ST FLOUR (ST GEORGES)</v>
      </c>
      <c r="C84" s="257" t="n">
        <f aca="false">A4</f>
        <v>41479</v>
      </c>
      <c r="D84" s="258" t="n">
        <f aca="false">IF(ISERROR(SUM($T$23:$T$82)/SUM($U$23:$U$82)),"",SUM($T$23:$T$82)/SUM($U$23:$U$82))</f>
        <v>11.625</v>
      </c>
      <c r="E84" s="259" t="n">
        <f aca="false">N13</f>
        <v>11</v>
      </c>
      <c r="F84" s="256" t="n">
        <f aca="false">N14</f>
        <v>10</v>
      </c>
      <c r="G84" s="256" t="n">
        <f aca="false">N15</f>
        <v>7</v>
      </c>
      <c r="H84" s="256" t="n">
        <f aca="false">N16</f>
        <v>3</v>
      </c>
      <c r="I84" s="256" t="n">
        <f aca="false">N17</f>
        <v>0</v>
      </c>
      <c r="J84" s="260" t="n">
        <f aca="false">N8</f>
        <v>10.5</v>
      </c>
      <c r="K84" s="258" t="n">
        <f aca="false">N9</f>
        <v>2.72946881279124</v>
      </c>
      <c r="L84" s="259" t="n">
        <f aca="false">N10</f>
        <v>6</v>
      </c>
      <c r="M84" s="259" t="n">
        <f aca="false">N11</f>
        <v>15</v>
      </c>
      <c r="N84" s="258" t="n">
        <f aca="false">O8</f>
        <v>1.3</v>
      </c>
      <c r="O84" s="258" t="n">
        <f aca="false">O9</f>
        <v>0.458257569495584</v>
      </c>
      <c r="P84" s="259" t="n">
        <f aca="false">O10</f>
        <v>1</v>
      </c>
      <c r="Q84" s="259" t="n">
        <f aca="false">O11</f>
        <v>2</v>
      </c>
      <c r="R84" s="259" t="n">
        <f aca="false">F21</f>
        <v>1.545</v>
      </c>
      <c r="S84" s="259" t="n">
        <f aca="false">K11</f>
        <v>0</v>
      </c>
      <c r="T84" s="259" t="n">
        <f aca="false">K12</f>
        <v>5</v>
      </c>
      <c r="U84" s="259" t="n">
        <f aca="false">K13</f>
        <v>1</v>
      </c>
      <c r="V84" s="261" t="n">
        <f aca="false">K14</f>
        <v>0</v>
      </c>
      <c r="W84" s="262" t="n">
        <f aca="false">K15</f>
        <v>5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30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60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4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n">
        <f aca="false">IF(ISERROR(SUM($T$23:$T$82)/SUM($U$23:$U$82)),"",(SUM($T$23:$T$82)-S88)/(SUM($U$23:$U$82)-S89))</f>
        <v>10.5</v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str">
        <f aca="false">INDEX('[1]liste reference'!$A$8:$A$904,$T$91)</f>
        <v>LEASPX</v>
      </c>
      <c r="T91" s="9" t="n">
        <f aca="false">IF(ISERROR(MATCH($S$93,'[1]liste reference'!$A$8:$A$904,0)),MATCH($S$93,'[1]liste reference'!$B$8:$B$904,0),(MATCH($S$93,'[1]liste reference'!$A$8:$A$904,0)))</f>
        <v>34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3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LEASPX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4">
    <cfRule type="cellIs" priority="28" operator="between" aboveAverage="0" equalAverage="0" bottom="0" percent="0" rank="0" text="" dxfId="26">
      <formula>"(Date)"</formula>
      <formula>"(Date)"</formula>
    </cfRule>
    <cfRule type="cellIs" priority="29" operator="notBetween" aboveAverage="0" equalAverage="0" bottom="0" percent="0" rank="0" text="" dxfId="27">
      <formula>"(Date)"</formula>
      <formula>"(Date)"</formula>
    </cfRule>
  </conditionalFormatting>
  <conditionalFormatting sqref="A4">
    <cfRule type="cellIs" priority="30" operator="between" aboveAverage="0" equalAverage="0" bottom="0" percent="0" rank="0" text="" dxfId="28">
      <formula>"(Date)"</formula>
      <formula>"(Date)"</formula>
    </cfRule>
    <cfRule type="cellIs" priority="31" operator="notBetween" aboveAverage="0" equalAverage="0" bottom="0" percent="0" rank="0" text="" dxfId="29">
      <formula>"(Date)"</formula>
      <formula>"(Date)"</formula>
    </cfRule>
  </conditionalFormatting>
  <conditionalFormatting sqref="A4">
    <cfRule type="cellIs" priority="32" operator="between" aboveAverage="0" equalAverage="0" bottom="0" percent="0" rank="0" text="" dxfId="30">
      <formula>"(Date)"</formula>
      <formula>"(Date)"</formula>
    </cfRule>
    <cfRule type="cellIs" priority="33" operator="notBetween" aboveAverage="0" equalAverage="0" bottom="0" percent="0" rank="0" text="" dxfId="31">
      <formula>"(Date)"</formula>
      <formula>"(Date)"</formula>
    </cfRule>
  </conditionalFormatting>
  <conditionalFormatting sqref="A4">
    <cfRule type="cellIs" priority="34" operator="between" aboveAverage="0" equalAverage="0" bottom="0" percent="0" rank="0" text="" dxfId="32">
      <formula>"(Date)"</formula>
      <formula>"(Date)"</formula>
    </cfRule>
    <cfRule type="cellIs" priority="35" operator="notBetween" aboveAverage="0" equalAverage="0" bottom="0" percent="0" rank="0" text="" dxfId="33">
      <formula>"(Date)"</formula>
      <formula>"(Date)"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2024-04-30T10:27:05Z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