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ccueil" sheetId="1" state="visible" r:id="rId3"/>
    <sheet name="liste reference" sheetId="2" state="visible" r:id="rId4"/>
    <sheet name="Récap." sheetId="3" state="visible" r:id="rId5"/>
    <sheet name="notice" sheetId="4" state="hidden" r:id="rId6"/>
    <sheet name="note V4" sheetId="5" state="hidden" r:id="rId7"/>
    <sheet name="05097200" sheetId="6" state="visible" r:id="rId8"/>
    <sheet name="jgjg" sheetId="7" state="hidden" r:id="rId9"/>
    <sheet name="liste codes réf" sheetId="8" state="hidden" r:id="rId10"/>
  </sheets>
  <definedNames>
    <definedName function="false" hidden="false" localSheetId="5" name="_xlnm.Print_Area" vbProcedure="false">'05097200'!$A$1:$Q$82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<sst xmlns="http://schemas.openxmlformats.org/spreadsheetml/2006/main" count="8834" uniqueCount="3497">
  <si>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</si>
  <si>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</si>
  <si>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</si>
  <si>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</si>
  <si>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</si>
  <si>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</si>
  <si>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</si>
  <si>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</si>
  <si>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</si>
  <si>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</si>
  <si>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</si>
  <si>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</si>
  <si>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</si>
  <si>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</si>
  <si>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</si>
  <si>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</si>
  <si>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</si>
  <si>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</si>
  <si>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</si>
  <si>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</si>
  <si>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</si>
  <si>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</si>
  <si>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</si>
  <si>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</si>
  <si>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</si>
  <si>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</si>
  <si>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</si>
  <si>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</si>
  <si>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</si>
  <si>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</si>
  <si>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</si>
  <si>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</si>
  <si>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</si>
  <si>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</si>
  <si>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</si>
  <si>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</si>
  <si>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</si>
  <si>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</si>
  <si>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</si>
  <si>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</si>
  <si>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</si>
  <si>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</si>
  <si>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</si>
  <si>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</si>
  <si>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</si>
  <si>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</si>
  <si>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</si>
  <si>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</si>
  <si>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</si>
  <si>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</si>
  <si>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</si>
  <si>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</si>
  <si>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</si>
  <si>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</si>
  <si>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</si>
  <si>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</si>
  <si>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</si>
  <si>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</si>
  <si>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</si>
  <si>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</si>
  <si>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</si>
  <si>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</si>
  <si>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</si>
  <si>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</si>
  <si>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</si>
  <si>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</si>
  <si>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</si>
  <si>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</si>
  <si>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</si>
  <si>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</si>
  <si>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</si>
  <si>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</si>
  <si>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</si>
  <si>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</si>
  <si>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</si>
  <si>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</si>
  <si>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</si>
  <si>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</si>
  <si>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</si>
  <si>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</si>
  <si>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</si>
  <si>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</si>
  <si>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</si>
  <si>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</si>
  <si>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</si>
  <si>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</si>
  <si>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</si>
  <si>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</si>
  <si>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</si>
  <si>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</si>
  <si>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</si>
  <si>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</si>
  <si>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</si>
  <si>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</si>
  <si>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</si>
  <si>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</si>
  <si>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</si>
  <si>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</si>
  <si>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</si>
  <si>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</si>
  <si>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</si>
  <si>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</si>
  <si>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</si>
  <si>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</si>
  <si>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</si>
  <si>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</si>
  <si>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</si>
  <si>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</si>
  <si>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</si>
  <si>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</si>
  <si>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</si>
  <si>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</si>
  <si>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</si>
  <si>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</si>
  <si>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</si>
  <si>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</si>
  <si>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</si>
  <si>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</si>
  <si>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</si>
  <si>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</si>
  <si>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</si>
  <si>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</si>
  <si>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</si>
  <si>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</si>
  <si>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</si>
  <si>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</si>
  <si>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</si>
  <si>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</si>
  <si>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</si>
  <si>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</si>
  <si>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</si>
  <si>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</si>
  <si>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</si>
  <si>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</si>
  <si>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</si>
  <si>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</si>
  <si>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</si>
  <si>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</si>
  <si>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</si>
  <si>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</si>
  <si>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</si>
  <si>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</si>
  <si>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</si>
  <si>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</si>
  <si>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</si>
  <si>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</si>
  <si>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</si>
  <si>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</si>
  <si>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</si>
  <si>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</si>
  <si>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</si>
  <si>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</si>
  <si>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</si>
  <si>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</si>
  <si>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</si>
  <si>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</si>
  <si>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</si>
  <si>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</si>
  <si>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</si>
  <si>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</si>
  <si>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</si>
  <si>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</si>
  <si>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</si>
  <si>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</si>
  <si>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</si>
  <si>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</si>
  <si>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</si>
  <si>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</si>
  <si>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</si>
  <si>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</si>
  <si>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</si>
  <si>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</si>
  <si>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</si>
  <si>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</si>
  <si>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</si>
  <si>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</si>
  <si>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</si>
  <si>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</si>
  <si>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</si>
  <si>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</si>
  <si>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</si>
  <si>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</si>
  <si>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</si>
  <si>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</si>
  <si>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</si>
  <si>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</si>
  <si>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</si>
  <si>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</si>
  <si>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</si>
  <si>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</si>
  <si>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</si>
  <si>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</si>
  <si>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</si>
  <si>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</si>
  <si>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</si>
  <si>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</si>
  <si>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</si>
  <si>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</si>
  <si>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</si>
  <si>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</si>
  <si>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</si>
  <si>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</si>
  <si>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</si>
  <si>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</si>
  <si>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</si>
  <si>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</si>
  <si>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</si>
  <si>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</si>
  <si>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</si>
  <si>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</si>
  <si>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</si>
  <si>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</si>
  <si>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</si>
  <si>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</si>
  <si>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</si>
  <si>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</si>
  <si>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</si>
  <si>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</si>
  <si>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</si>
  <si>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</si>
  <si>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</si>
  <si>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</si>
  <si>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</si>
  <si>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</si>
  <si>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</si>
  <si>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</si>
  <si>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</si>
  <si>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</si>
  <si>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</si>
  <si>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</si>
  <si>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</si>
  <si>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</si>
  <si>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</si>
  <si>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</si>
  <si>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</si>
  <si>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</si>
  <si>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</si>
  <si>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</si>
  <si>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</si>
  <si>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</si>
  <si>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</si>
  <si>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</si>
  <si>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</si>
  <si>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</si>
  <si>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</si>
  <si>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</si>
  <si>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</si>
  <si>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</si>
  <si>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</si>
  <si>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</si>
  <si>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</si>
  <si>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</si>
  <si>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</si>
  <si>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</si>
  <si>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</si>
  <si>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</si>
  <si>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</si>
  <si>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</si>
  <si>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</si>
  <si>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</si>
  <si>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</si>
  <si>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</si>
  <si>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</si>
  <si>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</si>
  <si>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</si>
  <si>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</si>
  <si>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</si>
  <si>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</si>
  <si>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</si>
  <si>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</si>
  <si>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</si>
  <si>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</si>
  <si>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</si>
  <si>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</si>
  <si>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</si>
  <si>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</si>
  <si>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</si>
  <si>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</si>
  <si>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</si>
  <si>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</si>
  <si>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</si>
  <si>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</si>
  <si>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</si>
  <si>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</si>
  <si>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</si>
  <si>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</si>
  <si>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</si>
  <si>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</si>
  <si>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</si>
  <si>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</si>
  <si>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</si>
  <si>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</si>
  <si>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</si>
  <si>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</si>
  <si>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</si>
  <si>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</si>
  <si>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</si>
  <si>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</si>
  <si>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</si>
  <si>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</si>
  <si>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</si>
  <si>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</si>
  <si>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</si>
  <si>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</si>
  <si>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</si>
  <si>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</si>
  <si>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</si>
  <si>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</si>
  <si>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</si>
  <si>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</si>
  <si>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</si>
  <si>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</si>
  <si>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</si>
  <si>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</si>
  <si>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</si>
  <si>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</si>
  <si>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</si>
  <si>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</si>
  <si>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</si>
  <si>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</si>
  <si>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</si>
  <si>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</si>
  <si>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</si>
  <si>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</si>
  <si>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</si>
  <si>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</si>
  <si>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</si>
  <si>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</si>
  <si>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</si>
  <si>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</si>
  <si>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</si>
  <si>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</si>
  <si>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</si>
  <si>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</si>
  <si>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</si>
  <si>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</si>
  <si>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</si>
  <si>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</si>
  <si>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</si>
  <si>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</si>
  <si>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</si>
  <si>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</si>
  <si>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</si>
  <si>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</si>
  <si>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</si>
  <si>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</si>
  <si>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</si>
  <si>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</si>
  <si>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</si>
  <si>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</si>
  <si>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</si>
  <si>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</si>
  <si>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</si>
  <si>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</si>
  <si>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</si>
  <si>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</si>
  <si>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</si>
  <si>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</si>
  <si>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</si>
  <si>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</si>
  <si>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</si>
  <si>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</si>
  <si>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</si>
  <si>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</si>
  <si>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</si>
  <si>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</si>
  <si>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</si>
  <si>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</si>
  <si>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</si>
  <si>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</si>
  <si>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</si>
  <si>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</si>
  <si>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</si>
  <si>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</si>
  <si>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</si>
  <si>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</si>
  <si>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</si>
  <si>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</si>
  <si>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</si>
  <si>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</si>
  <si>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</si>
  <si>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</si>
  <si>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</si>
  <si>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</si>
  <si>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</si>
  <si>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</si>
  <si>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</si>
  <si>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</si>
  <si>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</si>
  <si>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</si>
  <si>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</si>
  <si>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</si>
  <si>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</si>
  <si>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</si>
  <si>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</si>
  <si>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</si>
  <si>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</si>
  <si>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</si>
  <si>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</si>
  <si>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</si>
  <si>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</si>
  <si>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</si>
  <si>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</si>
  <si>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</si>
  <si>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</si>
  <si>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</si>
  <si>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</si>
  <si>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</si>
  <si>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</si>
  <si>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</si>
  <si>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</si>
  <si>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</si>
  <si>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</si>
  <si>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</si>
  <si>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</si>
  <si>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</si>
  <si>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</si>
  <si>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</si>
  <si>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</si>
  <si>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</si>
  <si>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</si>
  <si>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</si>
  <si>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</si>
  <si>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</si>
  <si>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</si>
  <si>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</si>
  <si>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</si>
  <si>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</si>
  <si>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</si>
  <si>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</si>
  <si>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</si>
  <si>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</si>
  <si>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</si>
  <si>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</si>
  <si>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</si>
  <si>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</si>
  <si>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</si>
  <si>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</si>
  <si>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</si>
  <si>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</si>
  <si>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</si>
  <si>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</si>
  <si>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</si>
  <si>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</si>
  <si>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</si>
  <si>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</si>
  <si>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</si>
  <si>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</si>
  <si>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</si>
  <si>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</si>
  <si>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</si>
  <si>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</si>
  <si>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</si>
  <si>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</si>
  <si>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</si>
  <si>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</si>
  <si>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</si>
  <si>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</si>
  <si>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</si>
  <si>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</si>
  <si>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</si>
  <si>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</si>
  <si>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</si>
  <si>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</si>
  <si>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</si>
  <si>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</si>
  <si>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</si>
  <si>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</si>
  <si>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</si>
  <si>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</si>
  <si>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</si>
  <si>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</si>
  <si>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</si>
  <si>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</si>
  <si>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</si>
  <si>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</si>
  <si>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</si>
  <si>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</si>
  <si>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</si>
  <si>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</si>
  <si>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</si>
  <si>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</si>
  <si>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</si>
  <si>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</si>
  <si>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</si>
  <si>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</si>
  <si>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</si>
  <si>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</si>
  <si>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</si>
  <si>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</si>
  <si>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</si>
  <si>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</si>
  <si>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</si>
  <si>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</si>
  <si>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</si>
  <si>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</si>
  <si>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</si>
  <si>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</si>
  <si>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</si>
  <si>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</si>
  <si>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</si>
  <si>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</si>
  <si>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</si>
  <si>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</si>
  <si>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</si>
  <si>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</si>
  <si>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</si>
  <si>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</si>
  <si>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</si>
  <si>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</si>
  <si>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</si>
  <si>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</si>
  <si>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</si>
  <si>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</si>
  <si>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</si>
  <si>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</si>
  <si>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</si>
  <si>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</si>
  <si>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</si>
  <si>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</si>
  <si>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</si>
  <si>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</si>
  <si>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</si>
  <si>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</si>
  <si>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</si>
  <si>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</si>
  <si>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</si>
  <si>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</si>
  <si>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</si>
  <si>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</si>
  <si>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</si>
  <si>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</si>
  <si>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</si>
  <si>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</si>
  <si>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</si>
  <si>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</si>
  <si>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</si>
  <si>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</si>
  <si>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</si>
  <si>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</si>
  <si>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</si>
  <si>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</si>
  <si>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</si>
  <si>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</si>
  <si>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</si>
  <si>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</si>
  <si>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</si>
  <si>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</si>
  <si>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</si>
  <si>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</si>
  <si>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</si>
  <si>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</si>
  <si>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</si>
  <si>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</si>
  <si>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</si>
  <si>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</si>
  <si>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</si>
  <si>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</si>
  <si>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</si>
  <si>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</si>
  <si>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</si>
  <si>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</si>
  <si>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</si>
  <si>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</si>
  <si>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</si>
  <si>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</si>
  <si>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</si>
  <si>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</si>
  <si>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</si>
  <si>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</si>
  <si>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</si>
  <si>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</si>
  <si>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</si>
  <si>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</si>
  <si>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</si>
  <si>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</si>
  <si>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</si>
  <si>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</si>
  <si>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</si>
  <si>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</si>
  <si>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</si>
  <si>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</si>
  <si>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</si>
  <si>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</si>
  <si>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</si>
  <si>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</si>
  <si>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</si>
  <si>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</si>
  <si>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</si>
  <si>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</si>
  <si>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</si>
  <si>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</si>
  <si>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</si>
  <si>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</si>
  <si>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</si>
  <si>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</si>
  <si>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</si>
  <si>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</si>
  <si>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</si>
  <si>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</si>
  <si>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</si>
  <si>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</si>
  <si>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</si>
  <si>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</si>
  <si>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</si>
  <si>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</si>
  <si>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</si>
  <si>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</si>
  <si>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</si>
  <si>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</si>
  <si>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</si>
  <si>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</si>
  <si>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</si>
  <si>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</si>
  <si>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</si>
  <si>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</si>
  <si>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</si>
  <si>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</si>
  <si>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</si>
  <si>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</si>
  <si>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</si>
  <si>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</si>
  <si>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</si>
  <si>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</si>
  <si>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</si>
  <si>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</si>
  <si>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</si>
  <si>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</si>
  <si>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</si>
  <si>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</si>
  <si>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</si>
  <si>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</si>
  <si>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</si>
  <si>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</si>
  <si>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</si>
  <si>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</si>
  <si>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</si>
  <si>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</si>
  <si>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</si>
  <si>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</si>
  <si>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</si>
  <si>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</si>
  <si>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</si>
  <si>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</si>
  <si>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</si>
  <si>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</si>
  <si>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</si>
  <si>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</si>
  <si>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</si>
  <si>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</si>
  <si>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</si>
  <si>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</si>
  <si>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</si>
  <si>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</si>
  <si>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</si>
  <si>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</si>
  <si>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</si>
  <si>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</si>
  <si>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</si>
  <si>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</si>
  <si>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</si>
  <si>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</si>
  <si>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</si>
  <si>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</si>
  <si>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</si>
  <si>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</si>
  <si>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</si>
  <si>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</si>
  <si>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</si>
  <si>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</si>
  <si>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</si>
  <si>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</si>
  <si>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</si>
  <si>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</si>
  <si>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</si>
  <si>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</si>
  <si>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</si>
  <si>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</si>
  <si>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</si>
  <si>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</si>
  <si>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</si>
  <si>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</si>
  <si>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</si>
  <si>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</si>
  <si>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</si>
  <si>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</si>
  <si>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</si>
  <si>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</si>
  <si>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</si>
  <si>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</si>
  <si>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</si>
  <si>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</si>
  <si>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</si>
  <si>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</si>
  <si>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</si>
  <si>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</si>
  <si>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</si>
  <si>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</si>
  <si>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</si>
  <si>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</si>
  <si>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</si>
  <si>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</si>
  <si>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</si>
  <si>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</si>
  <si>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</si>
  <si>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</si>
  <si>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</si>
  <si>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</si>
  <si>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</si>
  <si>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</si>
  <si>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</si>
  <si>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</si>
  <si>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</si>
  <si>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</si>
  <si>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</si>
  <si>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</si>
  <si>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</si>
  <si>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</si>
  <si>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</si>
  <si>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</si>
  <si>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</si>
  <si>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</si>
  <si>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</si>
  <si>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</si>
  <si>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</si>
  <si>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</si>
  <si>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</si>
  <si>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</si>
  <si>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</si>
  <si>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</si>
  <si>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</si>
  <si>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</si>
  <si>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</si>
  <si>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</si>
  <si>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</si>
  <si>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</si>
  <si>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</si>
  <si>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</si>
  <si>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</si>
  <si>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</si>
  <si>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</si>
  <si>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</si>
  <si>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</si>
  <si>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</si>
  <si>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</si>
  <si>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</si>
  <si>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</si>
  <si>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</si>
  <si>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</si>
  <si>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</si>
  <si>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</si>
  <si>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</si>
  <si>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</si>
  <si>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</si>
  <si>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</si>
  <si>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</si>
  <si>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</si>
  <si>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</si>
  <si>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</si>
  <si>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</si>
  <si>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</si>
  <si>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</si>
  <si>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</si>
  <si>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</si>
  <si>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</si>
  <si>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</si>
  <si>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</si>
  <si>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</si>
  <si>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</si>
  <si>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</si>
  <si>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</si>
  <si>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</si>
  <si>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</si>
  <si>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</si>
  <si>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</si>
  <si>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</si>
  <si>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</si>
  <si>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</si>
  <si>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</si>
  <si>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</si>
  <si>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</si>
  <si>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</si>
  <si>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</si>
  <si>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</si>
  <si>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</si>
  <si>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</si>
  <si>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</si>
  <si>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</si>
  <si>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</si>
  <si>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</si>
  <si>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</si>
  <si>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</si>
  <si>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</si>
  <si>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</si>
  <si>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</si>
  <si>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</si>
  <si>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</si>
  <si>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</si>
  <si>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</si>
  <si>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</si>
  <si>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</si>
  <si>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</si>
  <si>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</si>
  <si>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</si>
  <si>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</si>
  <si>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</si>
  <si>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</si>
  <si>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</si>
  <si>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</si>
  <si>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</si>
  <si>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</si>
  <si>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</si>
  <si>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</si>
  <si>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</si>
  <si>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</si>
  <si>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</si>
  <si>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</si>
  <si>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</si>
  <si>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</si>
  <si>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</si>
  <si>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</si>
  <si>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</si>
  <si>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</si>
  <si>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</si>
  <si>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</si>
  <si>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</si>
  <si>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</si>
  <si>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</si>
  <si>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</si>
  <si>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</si>
  <si>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</si>
  <si>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</si>
  <si>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</si>
  <si>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</si>
  <si>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</si>
  <si>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</si>
  <si>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</si>
  <si>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</si>
  <si>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</si>
  <si>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</si>
  <si>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</si>
  <si>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</si>
  <si>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</si>
  <si>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</si>
  <si>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</si>
  <si>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</si>
  <si>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</si>
  <si>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</si>
  <si>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</si>
  <si>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</si>
  <si>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</si>
  <si>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</si>
  <si>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</si>
  <si>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</si>
  <si>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</si>
  <si>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</si>
  <si>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</si>
  <si>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</si>
  <si>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</si>
  <si>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</si>
  <si>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</si>
  <si>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</si>
  <si>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</si>
  <si>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</si>
  <si>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</si>
  <si>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</si>
  <si>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</si>
  <si>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</si>
  <si>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</si>
  <si>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</si>
  <si>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</si>
  <si>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</si>
  <si>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</si>
  <si>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</si>
  <si>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</si>
  <si>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</si>
  <si>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</si>
  <si>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</si>
  <si>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</si>
  <si>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</si>
  <si>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</si>
  <si>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</si>
  <si>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</si>
  <si>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</si>
  <si>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</si>
  <si>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</si>
  <si>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</si>
  <si>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</si>
  <si>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</si>
  <si>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</si>
  <si>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</si>
  <si>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</si>
  <si>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</si>
  <si>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</si>
  <si>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</si>
  <si>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</si>
  <si>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</si>
  <si>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</si>
  <si>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</si>
  <si>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</si>
  <si>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</si>
  <si>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</si>
  <si>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</si>
  <si>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</si>
  <si>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</si>
  <si>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</si>
  <si>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</si>
  <si>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</si>
  <si>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</si>
  <si>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</si>
  <si>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</si>
  <si>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</si>
  <si>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</si>
  <si>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</si>
  <si>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</si>
  <si>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</si>
  <si>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</si>
  <si>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</si>
  <si>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</si>
  <si>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</si>
  <si>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</si>
  <si>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</si>
  <si>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</si>
  <si>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</si>
  <si>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</si>
  <si>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</si>
  <si>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</si>
  <si>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</si>
  <si>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</si>
  <si>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</si>
  <si>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</si>
  <si>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</si>
  <si>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</si>
  <si>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</si>
  <si>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</si>
  <si>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</si>
  <si>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</si>
  <si>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</si>
  <si>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</si>
  <si>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</si>
  <si>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</si>
  <si>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</si>
  <si>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</si>
  <si>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</si>
  <si>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</si>
  <si>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</si>
  <si>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</si>
  <si>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</si>
  <si>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</si>
  <si>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</si>
  <si>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</si>
  <si>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</si>
  <si>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</si>
  <si>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</si>
  <si>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</si>
  <si>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</si>
  <si>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</si>
  <si>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</si>
  <si>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</si>
  <si>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</si>
  <si>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</si>
  <si>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</si>
  <si>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</si>
  <si>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</si>
  <si>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</si>
  <si>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</si>
  <si>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</si>
  <si>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</si>
  <si>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</si>
  <si>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</si>
  <si>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</si>
  <si>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</si>
  <si>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</si>
  <si>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</si>
  <si>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</si>
  <si>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</si>
  <si>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</si>
  <si>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</si>
  <si>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</si>
  <si>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</si>
  <si>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</si>
  <si>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</si>
  <si>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</si>
  <si>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</si>
  <si>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</si>
  <si>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</si>
  <si>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</si>
  <si>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</si>
  <si>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</si>
  <si>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</si>
  <si>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</si>
  <si>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</si>
  <si>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</si>
  <si>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</si>
  <si>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</si>
  <si>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</si>
  <si>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</si>
  <si>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</si>
  <si>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</si>
  <si>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</si>
  <si>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</si>
  <si>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</si>
  <si>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</si>
  <si>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</si>
  <si>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</si>
  <si>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</si>
  <si>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</si>
  <si>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</si>
  <si>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</si>
  <si>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</si>
  <si>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</si>
  <si>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</si>
  <si>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</si>
  <si>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</si>
  <si>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</si>
  <si>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</si>
  <si>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</si>
  <si>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</si>
  <si>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</si>
  <si>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</si>
  <si>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</si>
  <si>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</si>
  <si>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</si>
  <si>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</si>
  <si>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</si>
  <si>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</si>
  <si>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</si>
  <si>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</si>
  <si>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</si>
  <si>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</si>
  <si>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</si>
  <si>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</si>
  <si>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</si>
  <si>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</si>
  <si>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</si>
  <si>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</si>
  <si>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</si>
  <si>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</si>
  <si>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</si>
  <si>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</si>
  <si>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</si>
  <si>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</si>
  <si>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</si>
  <si>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</si>
  <si>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</si>
  <si>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</si>
  <si>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</si>
  <si>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</si>
  <si>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</si>
  <si>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</si>
  <si>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</si>
  <si>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</si>
  <si>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</si>
  <si>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</si>
  <si>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</si>
  <si>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</si>
  <si>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</si>
  <si>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</si>
  <si>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</si>
  <si>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</si>
  <si>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</si>
  <si>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</si>
  <si>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</si>
  <si>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</si>
  <si>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</si>
  <si>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</si>
  <si>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</si>
  <si>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</si>
  <si>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</si>
  <si>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</si>
  <si>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</si>
  <si>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</si>
  <si>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</si>
  <si>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</si>
  <si>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</si>
  <si>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</si>
  <si>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</si>
  <si>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</si>
  <si>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</si>
  <si>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</si>
  <si>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</si>
  <si>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</si>
  <si>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</si>
  <si>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</si>
  <si>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</si>
  <si>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</si>
  <si>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</si>
  <si>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</si>
  <si>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</si>
  <si>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</si>
  <si>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</si>
  <si>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</si>
  <si>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</si>
  <si>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</si>
  <si>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</si>
  <si>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</si>
  <si>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</si>
  <si>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</si>
  <si>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</si>
  <si>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</si>
  <si>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</si>
  <si>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</si>
  <si>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</si>
  <si>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</si>
  <si>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</si>
  <si>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</si>
  <si>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</si>
  <si>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</si>
  <si>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</si>
  <si>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</si>
  <si>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</si>
  <si>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</si>
  <si>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</si>
  <si>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</si>
  <si>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</si>
  <si>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</si>
  <si>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</si>
  <si>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</si>
  <si>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</si>
  <si>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</si>
  <si>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</si>
  <si>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</si>
  <si>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</si>
  <si>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</si>
  <si>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</si>
  <si>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</si>
  <si>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</si>
  <si>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</si>
  <si>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</si>
  <si>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</si>
  <si>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</si>
  <si>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</si>
  <si>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</si>
  <si>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</si>
  <si>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</si>
  <si>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</si>
  <si>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</si>
  <si>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</si>
  <si>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</si>
  <si>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</si>
  <si>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</si>
  <si>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</si>
  <si>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</si>
  <si>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</si>
  <si>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</si>
  <si>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</si>
  <si>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</si>
  <si>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</si>
  <si>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</si>
  <si>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</si>
  <si>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</si>
  <si>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</si>
  <si>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</si>
  <si>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</si>
  <si>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</si>
  <si>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</si>
  <si>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</si>
  <si>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</si>
  <si>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</si>
  <si>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</si>
  <si>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</si>
  <si>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</si>
  <si>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</si>
  <si>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</si>
  <si>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</si>
  <si>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</si>
  <si>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</si>
  <si>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</si>
  <si>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</si>
  <si>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</si>
  <si>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</si>
  <si>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</si>
  <si>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</si>
  <si>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</si>
  <si>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</si>
  <si>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</si>
  <si>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</si>
  <si>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</si>
  <si>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</si>
  <si>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</si>
  <si>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</si>
  <si>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</si>
  <si>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</si>
  <si>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</si>
  <si>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</si>
  <si>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</si>
  <si>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</si>
  <si>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</si>
  <si>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</si>
  <si>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</si>
  <si>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</si>
  <si>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</si>
  <si>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</si>
  <si>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</si>
  <si>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</si>
  <si>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</si>
  <si>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</si>
  <si>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</si>
  <si>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</si>
  <si>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</si>
  <si>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</si>
  <si>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</si>
  <si>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</si>
  <si>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</si>
  <si>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</si>
  <si>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</si>
  <si>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</si>
  <si>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</si>
  <si>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</si>
  <si>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</si>
  <si>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</si>
  <si>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</si>
  <si>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</si>
  <si>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</si>
  <si>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</si>
  <si>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</si>
  <si>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</si>
  <si>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</si>
  <si>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</si>
  <si>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</si>
  <si>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</si>
  <si>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</si>
  <si>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</si>
  <si>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</si>
  <si>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</si>
  <si>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</si>
  <si>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</si>
  <si>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</si>
  <si>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</si>
  <si>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</si>
  <si>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</si>
  <si>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</si>
  <si>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</si>
  <si>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</si>
  <si>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</si>
  <si>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</si>
  <si>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</si>
  <si>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</si>
  <si>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</si>
  <si>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</si>
  <si>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</si>
  <si>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</si>
  <si>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</si>
  <si>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</si>
  <si>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</si>
  <si>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</si>
  <si>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</si>
  <si>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</si>
  <si>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</si>
  <si>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</si>
  <si>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</si>
  <si>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</si>
  <si>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</si>
  <si>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</si>
  <si>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</si>
  <si>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</si>
  <si>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</si>
  <si>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</si>
  <si>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</si>
  <si>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</si>
  <si>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</si>
  <si>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</si>
  <si>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</si>
  <si>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</si>
  <si>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</si>
  <si>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</si>
  <si>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</si>
  <si>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</si>
  <si>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</si>
  <si>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</si>
  <si>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</si>
  <si>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</si>
  <si>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</si>
  <si>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</si>
  <si>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</si>
  <si>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</si>
  <si>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</si>
  <si>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</si>
  <si>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</si>
  <si>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</si>
  <si>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</si>
  <si>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</si>
  <si>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</si>
  <si>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</si>
  <si>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</si>
  <si>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</si>
  <si>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</si>
  <si>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</si>
  <si>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</si>
  <si>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</si>
  <si>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</si>
  <si>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</si>
  <si>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</si>
  <si>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</si>
  <si>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</si>
  <si>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</si>
  <si>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</si>
  <si>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</si>
  <si>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</si>
  <si>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</si>
  <si>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</si>
  <si>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</si>
  <si>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</si>
  <si>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</si>
  <si>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</si>
  <si>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</si>
  <si>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</si>
  <si>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</si>
  <si>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</si>
  <si>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</si>
  <si>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</si>
  <si>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</si>
  <si>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</si>
  <si>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</si>
  <si>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</si>
  <si>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</si>
  <si>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</si>
  <si>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</si>
  <si>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</si>
  <si>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</si>
  <si>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</si>
  <si>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</si>
  <si>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</si>
  <si>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</si>
  <si>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</si>
  <si>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</si>
  <si>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</si>
  <si>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</si>
  <si>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</si>
  <si>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</si>
  <si>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</si>
  <si>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</si>
  <si>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</si>
  <si>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</si>
  <si>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</si>
  <si>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</si>
  <si>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</si>
  <si>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</si>
  <si>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</si>
  <si>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</si>
  <si>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</si>
  <si>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</si>
  <si>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</si>
  <si>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</si>
  <si>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</si>
  <si>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</si>
  <si>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</si>
  <si>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</si>
  <si>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</si>
  <si>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</si>
  <si>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</si>
  <si>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</si>
  <si>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</si>
  <si>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</si>
  <si>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</si>
  <si>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</si>
  <si>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</si>
  <si>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</si>
  <si>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</si>
  <si>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</si>
  <si>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</si>
  <si>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</si>
  <si>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</si>
  <si>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</si>
  <si>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</si>
  <si>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</si>
  <si>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</si>
  <si>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</si>
  <si>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</si>
  <si>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</si>
  <si>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</si>
  <si>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</si>
  <si>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</si>
  <si>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</si>
  <si>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</si>
  <si>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</si>
  <si>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</si>
  <si>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</si>
  <si>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</si>
  <si>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</si>
  <si>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</si>
  <si>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</si>
  <si>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</si>
  <si>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</si>
  <si>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</si>
  <si>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</si>
  <si>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</si>
  <si>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</si>
  <si>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</si>
  <si>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</si>
  <si>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</si>
  <si>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</si>
  <si>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</si>
  <si>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</si>
  <si>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</si>
  <si>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</si>
  <si>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</si>
  <si>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</si>
  <si>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</si>
  <si>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</si>
  <si>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</si>
  <si>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</si>
  <si>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</si>
  <si>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</si>
  <si>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</si>
  <si>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</si>
  <si>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</si>
  <si>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</si>
  <si>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</si>
  <si>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</si>
  <si>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</si>
  <si>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</si>
  <si>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</si>
  <si>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</si>
  <si>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</si>
  <si>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</si>
  <si>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</si>
  <si>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</si>
  <si>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</si>
  <si>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</si>
  <si>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</si>
  <si>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</si>
  <si>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</si>
  <si>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</si>
  <si>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</si>
  <si>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</si>
  <si>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</si>
  <si>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</si>
  <si>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</si>
  <si>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</si>
  <si>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</si>
  <si>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</si>
  <si>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</si>
  <si>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</si>
  <si>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</si>
  <si>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</si>
  <si>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</si>
  <si>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</si>
  <si>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</si>
  <si>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</si>
  <si>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</si>
  <si>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</si>
  <si>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</si>
  <si>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</si>
  <si>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</si>
  <si>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</si>
  <si>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</si>
  <si>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</si>
  <si>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</si>
  <si>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</si>
  <si>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</si>
  <si>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</si>
  <si>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</si>
  <si>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</si>
  <si>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</si>
  <si>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</si>
  <si>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</si>
  <si>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</si>
  <si>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</si>
  <si>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</si>
  <si>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</si>
  <si>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</si>
  <si>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</si>
  <si>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</si>
  <si>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</si>
  <si>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</si>
  <si>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</si>
  <si>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</si>
  <si>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</si>
  <si>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</si>
  <si>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</si>
  <si>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</si>
  <si>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</si>
  <si>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</si>
  <si>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</si>
  <si>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</si>
  <si>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</si>
  <si>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</si>
  <si>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</si>
  <si>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</si>
  <si>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</si>
  <si>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</si>
  <si>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</si>
  <si>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</si>
  <si>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</si>
  <si>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</si>
  <si>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</si>
  <si>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</si>
  <si>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</si>
  <si>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</si>
  <si>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</si>
  <si>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</si>
  <si>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</si>
  <si>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</si>
  <si>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</si>
  <si>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</si>
  <si>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</si>
  <si>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</si>
  <si>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</si>
  <si>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</si>
  <si>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</si>
  <si>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</si>
  <si>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</si>
  <si>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</si>
  <si>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</si>
  <si>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</si>
  <si>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</si>
  <si>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</si>
  <si>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</si>
  <si>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</si>
  <si>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</si>
  <si>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</si>
  <si>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</si>
  <si>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</si>
  <si>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</si>
  <si>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</si>
  <si>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</si>
  <si>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</si>
  <si>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</si>
  <si>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</si>
  <si>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</si>
  <si>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</si>
  <si>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</si>
  <si>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</si>
  <si>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</si>
  <si>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</si>
  <si>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</si>
  <si>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</si>
  <si>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</si>
  <si>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</si>
  <si>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</si>
  <si>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</si>
  <si>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</si>
  <si>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</si>
  <si>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</si>
  <si>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</si>
  <si>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</si>
  <si>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</si>
  <si>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</si>
  <si>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</si>
  <si>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</si>
  <si>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</si>
  <si>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</si>
  <si>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</si>
  <si>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</si>
  <si>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</si>
  <si>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</si>
  <si>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</si>
  <si>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</si>
  <si>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</si>
  <si>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</si>
  <si>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</si>
  <si>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</si>
  <si>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</si>
  <si>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</si>
  <si>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</si>
  <si>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</si>
  <si>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</si>
  <si>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</si>
  <si>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</si>
  <si>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</si>
  <si>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</si>
  <si>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</si>
  <si>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</si>
  <si>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</si>
  <si>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</si>
  <si>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</si>
  <si>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</si>
  <si>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</si>
  <si>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</si>
  <si>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</si>
  <si>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</si>
  <si>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</si>
  <si>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</si>
  <si>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</si>
  <si>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</si>
  <si>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</si>
  <si>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</si>
  <si>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</si>
  <si>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</si>
  <si>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</si>
  <si>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</si>
  <si>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</si>
  <si>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</si>
  <si>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</si>
  <si>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</si>
  <si>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</si>
  <si>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</si>
  <si>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</si>
  <si>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</si>
  <si>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</si>
  <si>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</si>
  <si>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</si>
  <si>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</si>
  <si>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</si>
  <si>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</si>
  <si>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</si>
  <si>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</si>
  <si>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</si>
  <si>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</si>
  <si>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</si>
  <si>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</si>
  <si>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</si>
  <si>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</si>
  <si>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</si>
  <si>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</si>
  <si>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</si>
  <si>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</si>
  <si>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</si>
  <si>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</si>
  <si>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</si>
  <si>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</si>
  <si>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</si>
  <si>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</si>
  <si>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</si>
  <si>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</si>
  <si>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</si>
  <si>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</si>
  <si>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</si>
  <si>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</si>
  <si>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</si>
  <si>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</si>
  <si>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</si>
  <si>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</si>
  <si>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</si>
  <si>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</si>
  <si>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</si>
  <si>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</si>
  <si>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</si>
  <si>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</si>
  <si>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</si>
  <si>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</si>
  <si>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</si>
  <si>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</si>
  <si>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</si>
  <si>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</si>
  <si>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</si>
  <si>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</si>
  <si>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</si>
  <si>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</si>
  <si>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</si>
  <si>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</si>
  <si>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</si>
  <si>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</si>
  <si>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</si>
  <si>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</si>
  <si>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</si>
  <si>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</si>
  <si>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</si>
  <si>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</si>
  <si>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</si>
  <si>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</si>
  <si>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</si>
  <si>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</si>
  <si>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</si>
  <si>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</si>
  <si>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</si>
  <si>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</si>
  <si>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</si>
  <si>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</si>
  <si>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</si>
  <si>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</si>
  <si>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</si>
  <si>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</si>
  <si>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</si>
  <si>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</si>
  <si>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</si>
  <si>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</si>
  <si>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</si>
  <si>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</si>
  <si>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</si>
  <si>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</si>
  <si>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</si>
  <si>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</si>
  <si>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</si>
  <si>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</si>
  <si>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</si>
  <si>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</si>
  <si>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</si>
  <si>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</si>
  <si>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</si>
  <si>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</si>
  <si>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</si>
  <si>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</si>
  <si>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</si>
  <si>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</si>
  <si>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</si>
  <si>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</si>
  <si>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</si>
  <si>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</si>
  <si>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</si>
  <si>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</si>
  <si>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</si>
  <si>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</si>
  <si>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</si>
  <si>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</si>
  <si>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</si>
  <si>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</si>
  <si>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</si>
  <si>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</si>
  <si>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</si>
  <si>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</si>
  <si>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</si>
  <si>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</si>
  <si>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</si>
  <si>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</si>
  <si>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</si>
  <si>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</si>
  <si>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</si>
  <si>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</si>
  <si>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</si>
  <si>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</si>
  <si>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</si>
  <si>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</si>
  <si>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</si>
  <si>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</si>
  <si>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</si>
  <si>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</si>
  <si>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</si>
  <si>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</si>
  <si>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</si>
  <si>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</si>
  <si>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</si>
  <si>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</si>
  <si>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</si>
  <si>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</si>
  <si>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</si>
  <si>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</si>
  <si>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</si>
  <si>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</si>
  <si>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</si>
  <si>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</si>
  <si>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</si>
  <si>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</si>
  <si>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</si>
  <si>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</si>
  <si>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</si>
  <si>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</si>
  <si>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</si>
  <si>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</si>
  <si>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</si>
  <si>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</si>
  <si>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</si>
  <si>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</si>
  <si>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</si>
  <si>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</si>
  <si>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</si>
  <si>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</si>
  <si>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</si>
  <si>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</si>
  <si>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</si>
  <si>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</si>
  <si>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</si>
  <si>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</si>
  <si>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</si>
  <si>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</si>
  <si>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</si>
  <si>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</si>
  <si>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</si>
  <si>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</si>
  <si>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</si>
  <si>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</si>
  <si>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</si>
  <si>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</si>
  <si>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</si>
  <si>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</si>
  <si>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</si>
  <si>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</si>
  <si>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</si>
  <si>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</si>
  <si>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</si>
  <si>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</si>
  <si>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</si>
  <si>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</si>
  <si>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</si>
  <si>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</si>
  <si>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</si>
  <si>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</si>
  <si>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</si>
  <si>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</si>
  <si>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</si>
  <si>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</si>
  <si>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</si>
  <si>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</si>
  <si>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</si>
  <si>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</si>
  <si>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</si>
  <si>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</si>
  <si>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</si>
  <si>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</si>
  <si>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</si>
  <si>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</si>
  <si>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</si>
  <si>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</si>
  <si>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</si>
  <si>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</si>
  <si>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</si>
  <si>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</si>
  <si>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</si>
  <si>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</si>
  <si>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</si>
  <si>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</si>
  <si>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</si>
  <si>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</si>
  <si>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</si>
  <si>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</si>
  <si>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</si>
  <si>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</si>
  <si>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</si>
  <si>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</si>
  <si>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</si>
  <si>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</si>
  <si>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</si>
  <si>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</si>
  <si>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</si>
  <si>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</si>
  <si>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</si>
  <si>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</si>
  <si>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</si>
  <si>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</si>
  <si>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</si>
  <si>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</si>
  <si>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</si>
  <si>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</si>
  <si>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</si>
  <si>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</si>
  <si>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</si>
  <si>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</si>
  <si>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</si>
  <si>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</si>
  <si>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</si>
  <si>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</si>
  <si>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</si>
  <si>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</si>
  <si>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</si>
  <si>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</si>
  <si>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</si>
  <si>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</si>
  <si>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</si>
  <si>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</si>
  <si>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</si>
  <si>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</si>
  <si>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</si>
  <si>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</si>
  <si>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</si>
  <si>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</si>
  <si>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</si>
  <si>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</si>
  <si>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</si>
  <si>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</si>
  <si>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</si>
  <si>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</si>
  <si>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</si>
  <si>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</si>
  <si>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</si>
  <si>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</si>
  <si>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</si>
  <si>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</si>
  <si>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</si>
  <si>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</si>
  <si>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</si>
  <si>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</si>
  <si>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</si>
  <si>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</si>
  <si>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</si>
  <si>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</si>
  <si>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</si>
  <si>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</si>
  <si>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</si>
  <si>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</si>
  <si>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</si>
  <si>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</si>
  <si>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</si>
  <si>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</si>
  <si>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</si>
  <si>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</si>
  <si>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</si>
  <si>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</si>
  <si>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</si>
  <si>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</si>
  <si>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</si>
  <si>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</si>
  <si>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</si>
  <si>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</si>
  <si>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</si>
  <si>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</si>
  <si>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</si>
  <si>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</si>
  <si>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</si>
  <si>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</si>
  <si>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</si>
  <si>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</si>
  <si>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</si>
  <si>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</si>
  <si>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</si>
  <si>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</si>
  <si>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</si>
  <si>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</si>
  <si>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</si>
  <si>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</si>
  <si>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</si>
  <si>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</si>
  <si>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</si>
  <si>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</si>
  <si>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</si>
  <si>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</si>
  <si>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</si>
  <si>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</si>
  <si>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</si>
  <si>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</si>
  <si>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</si>
  <si>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</si>
  <si>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</si>
  <si>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</si>
  <si>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</si>
  <si>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</si>
  <si>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</si>
  <si>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</si>
  <si>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</si>
  <si>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</si>
  <si>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</si>
  <si>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</si>
  <si>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</si>
  <si>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</si>
  <si>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</si>
  <si>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</si>
  <si>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</si>
  <si>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</si>
  <si>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</si>
  <si>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</si>
  <si>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</si>
  <si>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</si>
  <si>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</si>
  <si>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</si>
  <si>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</si>
  <si>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</si>
  <si>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</si>
  <si>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</si>
  <si>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</si>
  <si>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</si>
  <si>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</si>
  <si>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</si>
  <si>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</si>
  <si>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</si>
  <si>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</si>
  <si>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</si>
  <si>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</si>
  <si>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</si>
  <si>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</si>
  <si>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</si>
  <si>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</si>
  <si>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</si>
  <si>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</si>
  <si>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</si>
  <si>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</si>
  <si>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</si>
  <si>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</si>
  <si>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</si>
  <si>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</si>
  <si>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</si>
  <si>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</si>
  <si>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</si>
  <si>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</si>
  <si>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</si>
  <si>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</si>
  <si>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</si>
  <si>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</si>
  <si>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</si>
  <si>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</si>
  <si>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</si>
  <si>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</si>
  <si>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</si>
  <si>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</si>
  <si>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</si>
  <si>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</si>
  <si>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</si>
  <si>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</si>
  <si>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</si>
  <si>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</si>
  <si>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</si>
  <si>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</si>
  <si>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</si>
  <si>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</si>
  <si>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</si>
  <si>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</si>
  <si>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</si>
  <si>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</si>
  <si>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</si>
  <si>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</si>
  <si>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</si>
  <si>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</si>
  <si>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</si>
  <si>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</si>
  <si>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</si>
  <si>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</si>
  <si>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</si>
  <si>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</si>
  <si>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</si>
  <si>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</si>
  <si>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</si>
  <si>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</si>
  <si>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</si>
  <si>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</si>
  <si>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</si>
  <si>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</si>
  <si>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</si>
  <si>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</si>
  <si>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</si>
  <si>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</si>
  <si>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</si>
  <si>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</si>
  <si>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</si>
  <si>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</si>
  <si>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</si>
  <si>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</si>
  <si>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</si>
  <si>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</si>
  <si>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</si>
  <si>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</si>
  <si>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</si>
  <si>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</si>
  <si>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</si>
  <si>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</si>
  <si>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</si>
  <si>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</si>
  <si>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</si>
  <si>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</si>
  <si>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</si>
  <si>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</si>
  <si>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</si>
  <si>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</si>
  <si>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</si>
  <si>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</si>
  <si>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</si>
  <si>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</si>
  <si>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</si>
  <si>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</si>
  <si>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</si>
  <si>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</si>
  <si>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</si>
  <si>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</si>
  <si>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</si>
  <si>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</si>
  <si>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</si>
  <si>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</si>
  <si>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</si>
  <si>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</si>
  <si>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</si>
  <si>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</si>
  <si>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</si>
  <si>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</si>
  <si>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</si>
  <si>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</si>
  <si>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</si>
  <si>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</si>
  <si>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</si>
  <si>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</si>
  <si>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</si>
  <si>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</si>
  <si>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</si>
  <si>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</si>
  <si>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</si>
  <si>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</si>
  <si>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</si>
  <si>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</si>
  <si>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</si>
  <si>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</si>
  <si>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</si>
  <si>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</si>
  <si>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</si>
  <si>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</si>
  <si>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</si>
  <si>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</si>
  <si>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</si>
  <si>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</si>
  <si>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</si>
  <si>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</si>
  <si>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</si>
  <si>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</si>
  <si>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</si>
  <si>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</si>
  <si>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</si>
  <si>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</si>
  <si>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</si>
  <si>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</si>
  <si>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</si>
  <si>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</si>
  <si>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</si>
  <si>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</si>
  <si>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</si>
  <si>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</si>
  <si>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</si>
  <si>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</si>
  <si>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</si>
  <si>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</si>
  <si>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</si>
  <si>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</si>
  <si>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</si>
  <si>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</si>
  <si>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</si>
  <si>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</si>
  <si>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</si>
  <si>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</si>
  <si>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</si>
  <si>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</si>
  <si>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</si>
  <si>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</si>
  <si>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</si>
  <si>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</si>
  <si>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</si>
  <si>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</si>
  <si>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</si>
  <si>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</si>
  <si>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</si>
  <si>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</si>
  <si>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</si>
  <si>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</si>
  <si>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</si>
  <si>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</si>
  <si>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</si>
  <si>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</si>
  <si>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</si>
  <si>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</si>
  <si>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</si>
  <si>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</si>
  <si>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</si>
  <si>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</si>
  <si>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</si>
  <si>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</si>
  <si>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</si>
  <si>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</si>
  <si>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</si>
  <si>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</si>
  <si>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</si>
  <si>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</si>
  <si>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</si>
  <si>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</si>
  <si>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</si>
  <si>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</si>
  <si>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</si>
  <si>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</si>
  <si>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</si>
  <si>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</si>
  <si>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</si>
  <si>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</si>
  <si>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</si>
  <si>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</si>
  <si>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</si>
  <si>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</si>
  <si>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</si>
  <si>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</si>
  <si>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</si>
  <si>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</si>
  <si>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</si>
  <si>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</si>
  <si>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</si>
  <si>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</si>
  <si>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</si>
  <si>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</si>
  <si>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</si>
  <si>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</si>
  <si>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</si>
  <si>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</si>
  <si>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</si>
  <si>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</si>
  <si>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</si>
  <si>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</si>
  <si>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</si>
  <si>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</si>
  <si>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</si>
  <si>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</si>
  <si>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</si>
  <si>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</si>
  <si>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</si>
  <si>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</si>
  <si>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</si>
  <si>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</si>
  <si>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</si>
  <si>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</si>
  <si>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</si>
  <si>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</si>
  <si>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</si>
  <si>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</si>
  <si>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</si>
  <si>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</si>
  <si>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</si>
  <si>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</si>
  <si>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</si>
  <si>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</si>
  <si>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</si>
  <si>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</si>
  <si>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</si>
  <si>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</si>
  <si>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</si>
  <si>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</si>
  <si>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</si>
  <si>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</si>
  <si>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</si>
  <si>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</si>
  <si>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</si>
  <si>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</si>
  <si>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</si>
  <si>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</si>
  <si>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</si>
  <si>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</si>
  <si>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</si>
  <si>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</si>
  <si>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</si>
  <si>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</si>
  <si>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</si>
  <si>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</si>
  <si>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</si>
  <si>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</si>
  <si>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</si>
  <si>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</si>
  <si>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</si>
  <si>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</si>
  <si>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</si>
  <si>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</si>
  <si>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</si>
  <si>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</si>
  <si>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</si>
  <si>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</si>
  <si>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</si>
  <si>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</si>
  <si>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</si>
  <si>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</si>
  <si>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</si>
  <si>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</si>
  <si>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</si>
  <si>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</si>
  <si>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</si>
  <si>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</si>
  <si>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</si>
  <si>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</si>
  <si>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</si>
  <si>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</si>
  <si>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</si>
  <si>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</si>
  <si>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</si>
  <si>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</si>
  <si>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</si>
  <si>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</si>
  <si>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</si>
  <si>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</si>
  <si>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</si>
  <si>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</si>
  <si>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</si>
  <si>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</si>
  <si>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</si>
  <si>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</si>
  <si>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</si>
  <si>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</si>
  <si>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</si>
  <si>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</si>
  <si>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</si>
  <si>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</si>
  <si>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</si>
  <si>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</si>
  <si>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</si>
  <si>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</si>
  <si>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</si>
  <si>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</si>
  <si>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</si>
  <si>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</si>
  <si>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</si>
  <si>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</si>
  <si>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</si>
  <si>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</si>
  <si>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</si>
  <si>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</si>
  <si>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</si>
  <si>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</si>
  <si>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</si>
  <si>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</si>
  <si>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</si>
  <si>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</si>
  <si>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</si>
  <si>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</si>
  <si>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</si>
  <si>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</si>
  <si>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</si>
  <si>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</si>
  <si>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</si>
  <si>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</si>
  <si>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</si>
  <si>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</si>
  <si>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</si>
  <si>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</si>
  <si>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</si>
  <si>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</si>
  <si>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</si>
  <si>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</si>
  <si>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</si>
  <si>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</si>
  <si>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</si>
  <si>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</si>
  <si>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</si>
  <si>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</si>
  <si>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</si>
  <si>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</si>
  <si>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</si>
  <si>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</si>
  <si>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</si>
  <si>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</si>
  <si>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</si>
  <si>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</si>
  <si>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</si>
  <si>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</si>
  <si>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</si>
  <si>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</si>
  <si>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</si>
  <si>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</si>
  <si>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</si>
  <si>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</si>
  <si>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</si>
  <si>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</si>
  <si>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</si>
  <si>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</si>
  <si>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</si>
  <si>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</si>
  <si>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</si>
  <si>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</si>
  <si>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</si>
  <si>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</si>
  <si>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</si>
  <si>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</si>
  <si>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</si>
  <si>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</si>
  <si>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</si>
  <si>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</si>
  <si>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</si>
  <si>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</si>
  <si>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</si>
  <si>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</si>
  <si>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</si>
  <si>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</si>
  <si>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</si>
  <si>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</si>
  <si>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</si>
  <si>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</si>
  <si>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</si>
  <si>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</si>
  <si>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</si>
  <si>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</si>
  <si>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</si>
  <si>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</si>
  <si>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</si>
  <si>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</si>
  <si>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</si>
  <si>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</si>
  <si>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</si>
  <si>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</si>
  <si>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</si>
  <si>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</si>
  <si>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</si>
  <si>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</si>
  <si>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</si>
  <si>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</si>
  <si>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</si>
  <si>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</si>
  <si>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</si>
  <si>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</si>
  <si>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</si>
  <si>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</si>
  <si>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</si>
  <si>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</si>
  <si>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</si>
  <si>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</si>
  <si>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</si>
  <si>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</si>
  <si>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</si>
  <si>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</si>
  <si>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</si>
  <si>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</si>
  <si>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</si>
  <si>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</si>
  <si>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</si>
  <si>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</si>
  <si>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</si>
  <si>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</si>
  <si>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</si>
  <si>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</si>
  <si>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</si>
  <si>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</si>
  <si>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</si>
  <si>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</si>
  <si>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</si>
  <si>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</si>
  <si>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</si>
  <si>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</si>
  <si>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</si>
  <si>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</si>
  <si>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</si>
  <si>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</si>
  <si>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</si>
  <si>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</si>
  <si>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</si>
  <si>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</si>
  <si>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</si>
  <si>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</si>
  <si>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</si>
  <si>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</si>
  <si>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</si>
  <si>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</si>
  <si>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</si>
  <si>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</si>
  <si>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</si>
  <si>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</si>
  <si>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</si>
  <si>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</si>
  <si>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</si>
  <si>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</si>
  <si>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</si>
  <si>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</si>
  <si>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</si>
  <si>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</si>
  <si>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</si>
  <si>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</si>
  <si>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</si>
  <si>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</si>
  <si>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</si>
  <si>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</si>
  <si>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</si>
  <si>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</si>
  <si>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</si>
  <si>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</si>
  <si>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</si>
  <si>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</si>
  <si>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</si>
  <si>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</si>
  <si>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</si>
  <si>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</si>
  <si>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</si>
  <si>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</si>
  <si>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</si>
  <si>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</si>
  <si>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</si>
  <si>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</si>
  <si>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</si>
  <si>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</si>
  <si>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</si>
  <si>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</si>
  <si>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</si>
  <si>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</si>
  <si>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</si>
  <si>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</si>
  <si>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</si>
  <si>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</si>
  <si>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</si>
  <si>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</si>
  <si>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</si>
  <si>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</si>
  <si>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</si>
  <si>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</si>
  <si>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</si>
  <si>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</si>
  <si>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</si>
  <si>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</si>
  <si>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</si>
  <si>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</si>
  <si>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</si>
  <si>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</si>
  <si>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</si>
  <si>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</si>
  <si>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</si>
  <si>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</si>
  <si>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</si>
  <si>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</si>
  <si>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</si>
  <si>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</si>
  <si>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</si>
  <si>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</si>
  <si>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</si>
  <si>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</si>
  <si>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</si>
  <si>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</si>
  <si>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</si>
  <si>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</si>
  <si>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</si>
  <si>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</si>
  <si>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</si>
  <si>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</si>
  <si>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</si>
  <si>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</si>
  <si>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</si>
  <si>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</si>
  <si>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</si>
  <si>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</si>
  <si>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</si>
  <si>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</si>
  <si>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</si>
  <si>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</si>
  <si>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</si>
  <si>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</si>
  <si>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</si>
  <si>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</si>
  <si>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</si>
  <si>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</si>
  <si>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</si>
  <si>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</si>
  <si>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</si>
  <si>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</si>
  <si>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</si>
  <si>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</si>
  <si>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</si>
  <si>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</si>
  <si>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</si>
  <si>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</si>
  <si>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</si>
  <si>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</si>
  <si>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</si>
  <si>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</si>
  <si>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</si>
  <si>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</si>
  <si>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</si>
  <si>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</si>
  <si>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</si>
  <si>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</si>
  <si>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</si>
  <si>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</si>
  <si>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</si>
  <si>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</si>
  <si>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</si>
  <si>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</si>
  <si>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</si>
  <si>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</si>
  <si>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</si>
  <si>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</si>
  <si>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</si>
  <si>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</si>
  <si>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</si>
  <si>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</si>
  <si>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</si>
  <si>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</si>
  <si>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</si>
  <si>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</si>
  <si>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</si>
  <si>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</si>
  <si>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</si>
  <si>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</si>
  <si>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</si>
  <si>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</si>
  <si>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</si>
  <si>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</si>
  <si>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</si>
  <si>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</si>
  <si>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</si>
  <si>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</si>
  <si>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</si>
  <si>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</si>
  <si>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</si>
  <si>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</si>
  <si>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</si>
  <si>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</si>
  <si>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</si>
  <si>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</si>
  <si>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</si>
  <si>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</si>
  <si>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</si>
  <si>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</si>
  <si>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</si>
  <si>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</si>
  <si>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</si>
  <si>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</si>
  <si>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</si>
  <si>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</si>
  <si>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</si>
  <si>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</si>
  <si>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</si>
  <si>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</si>
  <si>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</si>
  <si>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</si>
  <si>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</si>
  <si>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</si>
  <si>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</si>
  <si>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</si>
  <si>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</si>
  <si>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</si>
  <si>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</si>
  <si>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</si>
  <si>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</si>
  <si>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</si>
  <si>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</si>
  <si>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</si>
  <si>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</si>
  <si>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</si>
  <si>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</si>
  <si>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</si>
  <si>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</si>
  <si>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</si>
  <si>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</si>
  <si>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</si>
  <si>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</si>
  <si>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</si>
  <si>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</si>
  <si>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</si>
  <si>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</si>
  <si>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</si>
  <si>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</si>
  <si>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</si>
  <si>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</si>
  <si>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</si>
  <si>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</si>
  <si>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</si>
  <si>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</si>
  <si>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</si>
  <si>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</si>
  <si>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</si>
  <si>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</si>
  <si>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</si>
  <si>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</si>
  <si>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</si>
  <si>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</si>
  <si>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</si>
  <si>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</si>
  <si>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</si>
  <si>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</si>
  <si>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</si>
  <si>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</si>
  <si>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</si>
  <si>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</si>
  <si>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</si>
  <si>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</si>
  <si>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</si>
  <si>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</si>
  <si>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</si>
  <si>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</si>
  <si>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</si>
  <si>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</si>
  <si>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</si>
  <si>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</si>
  <si>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</si>
  <si>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</si>
  <si>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</si>
  <si>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</si>
  <si>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</si>
  <si>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</si>
  <si>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</si>
  <si>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</si>
  <si>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</si>
  <si>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</si>
  <si>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</si>
  <si>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</si>
  <si>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</si>
  <si>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</si>
  <si>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</si>
  <si>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</si>
  <si>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</si>
  <si>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</si>
  <si>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</si>
  <si>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</si>
  <si>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</si>
  <si>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</si>
  <si>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</si>
  <si>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</si>
  <si>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</si>
  <si>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</si>
  <si>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</si>
  <si>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</si>
  <si>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</si>
  <si>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</si>
  <si>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</si>
  <si>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</si>
  <si>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</si>
  <si>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</si>
  <si>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</si>
  <si>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</si>
  <si>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</si>
  <si>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</si>
  <si>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</si>
  <si>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</si>
  <si>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</si>
  <si>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</si>
  <si>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</si>
  <si>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</si>
  <si>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</si>
  <si>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</si>
  <si>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</si>
  <si>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</si>
  <si>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</si>
  <si>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</si>
  <si>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</si>
  <si>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</si>
  <si>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</si>
  <si>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</si>
  <si>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</si>
  <si>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</si>
  <si>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</si>
  <si>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</si>
  <si>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</si>
  <si>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</si>
  <si>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</si>
  <si>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</si>
  <si>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</si>
  <si>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</si>
  <si>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</si>
  <si>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</si>
  <si>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</si>
  <si>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</si>
  <si>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</si>
  <si>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</si>
  <si>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</si>
  <si>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</si>
  <si>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</si>
  <si>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</si>
  <si>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</si>
  <si>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</si>
  <si>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</si>
  <si>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</si>
  <si>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</si>
  <si>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</si>
  <si>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</si>
  <si>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</si>
  <si>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</si>
  <si>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</si>
  <si>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</si>
  <si>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</si>
  <si>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</si>
  <si>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</si>
  <si>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</si>
  <si>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</si>
  <si>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</si>
  <si>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</si>
  <si>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</si>
  <si>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</si>
  <si>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</si>
  <si>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</si>
  <si>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</si>
  <si>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</si>
  <si>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</si>
  <si>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</si>
  <si>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</si>
  <si>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</si>
  <si>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</si>
  <si>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</si>
  <si>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</si>
  <si>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</si>
  <si>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</si>
  <si>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</si>
  <si>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</si>
  <si>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</si>
  <si>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</si>
  <si>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</si>
  <si>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</si>
  <si>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</si>
  <si>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</si>
  <si>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</si>
  <si>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</si>
  <si>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</si>
  <si>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</si>
  <si>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</si>
  <si>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</si>
  <si>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</si>
  <si>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</si>
  <si>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</si>
  <si>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</si>
  <si>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</si>
  <si>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</si>
  <si>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</si>
  <si>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</si>
  <si>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</si>
  <si>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</si>
  <si>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</si>
  <si>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</si>
  <si>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</si>
  <si>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</si>
  <si>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</si>
  <si>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</si>
  <si>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</si>
  <si>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</si>
  <si>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</si>
  <si>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</si>
  <si>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</si>
  <si>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</si>
  <si>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</si>
  <si>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</si>
  <si>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</si>
  <si>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</si>
  <si>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</si>
  <si>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</si>
  <si>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</si>
  <si>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</si>
  <si>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</si>
  <si>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</si>
  <si>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</si>
  <si>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</si>
  <si>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</si>
  <si>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</si>
  <si>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</si>
  <si>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</si>
  <si>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</si>
  <si>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</si>
  <si>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</si>
  <si>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</si>
  <si>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</si>
  <si>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</si>
  <si>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</si>
  <si>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</si>
  <si>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</si>
  <si>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</si>
  <si>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</si>
  <si>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</si>
  <si>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</si>
  <si>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</si>
  <si>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</si>
  <si>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</si>
  <si>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</si>
  <si>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</si>
  <si>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</si>
  <si>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</si>
  <si>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</si>
  <si>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</si>
  <si>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</si>
  <si>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</si>
  <si>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</si>
  <si>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</si>
  <si>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</si>
  <si>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</si>
  <si>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</si>
  <si>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</si>
  <si>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</si>
  <si>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</si>
  <si>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</si>
  <si>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</si>
  <si>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</si>
  <si>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</si>
  <si>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</si>
  <si>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</si>
  <si>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</si>
  <si>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</si>
  <si>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</si>
  <si>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</si>
  <si>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</si>
  <si>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</si>
  <si>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</si>
  <si>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</si>
  <si>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</si>
  <si>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</si>
  <si>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</si>
  <si>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</si>
  <si>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</si>
  <si>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</si>
  <si>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</si>
  <si>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</si>
  <si>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</si>
  <si>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</si>
  <si>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</si>
  <si>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</si>
  <si>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</si>
  <si>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</si>
  <si>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</si>
  <si>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</si>
  <si>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</si>
  <si>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</si>
  <si>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</si>
  <si>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</si>
  <si>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</si>
  <si>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</si>
  <si>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</si>
  <si>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</si>
  <si>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</si>
  <si>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</si>
  <si>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</si>
  <si>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</si>
  <si>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</si>
  <si>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</si>
  <si>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</si>
  <si>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</si>
  <si>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</si>
  <si>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</si>
  <si>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</si>
  <si>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</si>
  <si>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</si>
  <si>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</si>
  <si>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</si>
  <si>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</si>
  <si>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</si>
  <si>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</si>
  <si>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</si>
  <si>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</si>
  <si>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</si>
  <si>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</si>
  <si>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</si>
  <si>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</si>
  <si>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</si>
  <si>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</si>
  <si>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</si>
  <si>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</si>
  <si>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</si>
  <si>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</si>
  <si>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</si>
  <si>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</si>
  <si>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</si>
  <si>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</si>
  <si>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</si>
  <si>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</si>
  <si>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</si>
  <si>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</si>
  <si>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</si>
  <si>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</si>
  <si>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</si>
  <si>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</si>
  <si>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</si>
  <si>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</si>
  <si>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</si>
  <si>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</si>
  <si>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</si>
  <si>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</si>
  <si>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</si>
  <si>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</si>
  <si>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</si>
  <si>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</si>
  <si>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</si>
  <si>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</si>
  <si>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</si>
  <si>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</si>
  <si>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</si>
  <si>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</si>
  <si>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</si>
  <si>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</si>
  <si>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</si>
  <si>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</si>
  <si>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</si>
  <si>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</si>
  <si>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</si>
  <si>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</si>
  <si>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</si>
  <si>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</si>
  <si>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</si>
  <si>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</si>
  <si>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</si>
  <si>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</si>
  <si>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</si>
  <si>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</si>
  <si>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</si>
  <si>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</si>
  <si>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</si>
  <si>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</si>
  <si>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</si>
  <si>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</si>
  <si>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</si>
  <si>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</si>
  <si>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</si>
  <si>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</si>
  <si>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</si>
  <si>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</si>
  <si>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</si>
  <si>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</si>
  <si>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</si>
  <si>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</si>
  <si>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</si>
  <si>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</si>
  <si>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</si>
  <si>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</si>
  <si>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</si>
  <si>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</si>
  <si>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</si>
  <si>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</si>
  <si>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</si>
  <si>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</si>
  <si>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</si>
  <si>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</si>
  <si>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</si>
  <si>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</si>
  <si>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</si>
  <si>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</si>
  <si>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</si>
  <si>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</si>
  <si>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</si>
  <si>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</si>
  <si>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</si>
  <si>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</si>
  <si>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</si>
  <si>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</si>
  <si>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</si>
  <si>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</si>
  <si>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</si>
  <si>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</si>
  <si>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</si>
  <si>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</si>
  <si>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</si>
  <si>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</si>
  <si>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</si>
  <si>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</si>
  <si>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</si>
  <si>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</si>
  <si>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</si>
  <si>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</si>
  <si>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</si>
  <si>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</si>
  <si>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</si>
  <si>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</si>
  <si>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</si>
  <si>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</si>
  <si>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</si>
  <si>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</si>
  <si>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</si>
  <si>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</si>
  <si>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</si>
  <si>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</si>
  <si>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</si>
  <si>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</si>
  <si>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</si>
  <si>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</si>
  <si>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</si>
  <si>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</si>
  <si>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</si>
  <si>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</si>
  <si>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</si>
  <si>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</si>
  <si>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</si>
  <si>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</si>
  <si>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</si>
  <si>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</si>
  <si>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</si>
  <si>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</si>
  <si>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</si>
  <si>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</si>
  <si>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</si>
  <si>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</si>
  <si>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</si>
  <si>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</si>
  <si>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</si>
  <si>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</si>
  <si>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</si>
  <si>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</si>
  <si>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</si>
  <si>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</si>
  <si>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</si>
  <si>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</si>
  <si>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</si>
  <si>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</si>
  <si>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</si>
  <si>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</si>
  <si>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</si>
  <si>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</si>
  <si>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</si>
  <si>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</si>
  <si>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</si>
  <si>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</si>
  <si>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</si>
  <si>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</si>
  <si>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</si>
  <si>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</si>
  <si>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</si>
  <si>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</si>
  <si>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</si>
  <si>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</si>
  <si>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</si>
  <si>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</si>
  <si>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</si>
  <si>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</si>
  <si>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</si>
  <si>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</si>
  <si>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</si>
  <si>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</si>
  <si>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</si>
  <si>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</si>
  <si>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</si>
  <si>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</si>
  <si>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</si>
  <si>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</si>
  <si>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</si>
  <si>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</si>
  <si>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</si>
  <si>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</si>
  <si>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</si>
  <si>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</si>
  <si>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</si>
  <si>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</si>
  <si>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</si>
  <si>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</si>
  <si>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</si>
  <si>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</si>
  <si>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</si>
  <si>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</si>
  <si>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</si>
  <si>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</si>
  <si>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</si>
  <si>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</si>
  <si>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</si>
  <si>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</si>
  <si>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</si>
  <si>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</si>
  <si>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</si>
  <si>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</si>
  <si>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</si>
  <si>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</si>
  <si>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</si>
  <si>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</si>
  <si>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</si>
  <si>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</si>
  <si>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</si>
  <si>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</si>
  <si>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</si>
  <si>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</si>
  <si>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</si>
  <si>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</si>
  <si>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</si>
  <si>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</si>
  <si>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</si>
  <si>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</si>
  <si>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</si>
  <si>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</si>
  <si>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</si>
  <si>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</si>
  <si>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</si>
  <si>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</si>
  <si>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</si>
  <si>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</si>
  <si>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</si>
  <si>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</si>
  <si>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</si>
  <si>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</si>
  <si>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</si>
  <si>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</si>
  <si>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</si>
  <si>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</si>
  <si>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</si>
  <si>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</si>
  <si>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</si>
  <si>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</si>
  <si>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</si>
  <si>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</si>
  <si>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</si>
  <si>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</si>
  <si>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</si>
  <si>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</si>
  <si>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</si>
  <si>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</si>
  <si>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</si>
  <si>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</si>
  <si>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</si>
  <si>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</si>
  <si>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</si>
  <si>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</si>
  <si>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</si>
  <si>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</si>
  <si>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</si>
  <si>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</si>
  <si>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</si>
  <si>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</si>
  <si>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</si>
  <si>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</si>
  <si>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</si>
  <si>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</si>
  <si>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</si>
  <si>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</si>
  <si>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</si>
  <si>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</si>
  <si>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</si>
  <si>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</si>
  <si>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</si>
  <si>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</si>
  <si>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</si>
  <si>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</si>
  <si>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</si>
  <si>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</si>
  <si>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</si>
  <si>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</si>
  <si>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</si>
  <si>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</si>
  <si>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</si>
  <si>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</si>
  <si>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</si>
  <si>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</si>
  <si>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</si>
  <si>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</si>
  <si>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</si>
  <si>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</si>
  <si>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</si>
  <si>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</si>
  <si>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</si>
  <si>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</si>
  <si>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</si>
  <si>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</si>
  <si>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</si>
  <si>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</si>
  <si>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</si>
  <si>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</si>
  <si>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</si>
  <si>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</si>
  <si>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</si>
  <si>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</si>
  <si>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</si>
  <si>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</si>
  <si>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</si>
  <si>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</si>
  <si>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</si>
  <si>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</si>
  <si>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</si>
  <si>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</si>
  <si>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</si>
  <si>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</si>
  <si>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</si>
  <si>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</si>
  <si>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</si>
  <si>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</si>
  <si>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</si>
  <si>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</si>
  <si>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</si>
  <si>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</si>
  <si>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</si>
  <si>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</si>
  <si>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</si>
  <si>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</si>
  <si>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</si>
  <si>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</si>
  <si>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</si>
  <si>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</si>
  <si>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</si>
  <si>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</si>
  <si>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</si>
  <si>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</si>
  <si>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</si>
  <si>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</si>
  <si>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</si>
  <si>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</si>
  <si>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</si>
  <si>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</si>
  <si>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</si>
  <si>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</si>
  <si>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</si>
  <si>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</si>
  <si>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</si>
  <si>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</si>
  <si>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</si>
  <si>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</si>
  <si>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</si>
  <si>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</si>
  <si>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</si>
  <si>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</si>
  <si>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</si>
  <si>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</si>
  <si>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</si>
  <si>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</si>
  <si>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</si>
  <si>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</si>
  <si>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</si>
  <si>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</si>
  <si>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</si>
  <si>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</si>
  <si>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</si>
  <si>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</si>
  <si>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</si>
  <si>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</si>
  <si>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</si>
  <si>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</si>
  <si>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</si>
  <si>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</si>
  <si>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</si>
  <si>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</si>
  <si>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</si>
  <si>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</si>
  <si>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</si>
  <si>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</si>
  <si>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</si>
  <si>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</si>
  <si>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</si>
  <si>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</si>
  <si>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</si>
  <si>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</si>
  <si>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</si>
  <si>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</si>
  <si>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</si>
  <si>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</si>
  <si>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</si>
  <si>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</si>
  <si>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</si>
  <si>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</si>
  <si>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</si>
  <si>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</si>
  <si>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</si>
  <si>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</si>
  <si>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</si>
  <si>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</si>
  <si>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</si>
  <si>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</si>
  <si>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</si>
  <si>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</si>
  <si>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</si>
  <si>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</si>
  <si>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</si>
  <si>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</si>
  <si>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</si>
  <si>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</si>
  <si>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</si>
  <si>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</si>
  <si>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</si>
  <si>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</si>
  <si>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</si>
  <si>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</si>
  <si>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</si>
  <si>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</si>
  <si>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</si>
  <si>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</si>
  <si>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</si>
  <si>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</si>
  <si>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</si>
  <si>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</si>
  <si>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</si>
  <si>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</si>
  <si>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</si>
  <si>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</si>
  <si>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</si>
  <si>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</si>
  <si>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</si>
  <si>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</si>
  <si>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</si>
  <si>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</si>
  <si>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</si>
  <si>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</si>
  <si>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</si>
  <si>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</si>
  <si>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</si>
  <si>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</si>
  <si>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</si>
  <si>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</si>
  <si>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</si>
  <si>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</si>
  <si>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</si>
  <si>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</si>
  <si>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</si>
  <si>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</si>
  <si>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</si>
  <si>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</si>
  <si>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</si>
  <si>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</si>
  <si>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</si>
  <si>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</si>
  <si>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</si>
  <si>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</si>
  <si>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</si>
  <si>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</si>
  <si>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</si>
  <si>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</si>
  <si>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</si>
  <si>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</si>
  <si>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</si>
  <si>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</si>
  <si>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</si>
  <si>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</si>
  <si>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</si>
  <si>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</si>
  <si>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</si>
  <si>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</si>
  <si>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</si>
  <si>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</si>
  <si>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</si>
  <si>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</si>
  <si>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</si>
  <si>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</si>
  <si>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</si>
  <si>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</si>
  <si>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</si>
  <si>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</si>
  <si>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</si>
  <si>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</si>
  <si>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</si>
  <si>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</si>
  <si>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</si>
  <si>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</si>
  <si>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</si>
  <si>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</si>
  <si>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</si>
  <si>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</si>
  <si>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</si>
  <si>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</si>
  <si>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</si>
  <si>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</si>
  <si>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</si>
  <si>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</si>
  <si>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</si>
  <si>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</si>
  <si>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</si>
  <si>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</si>
  <si>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HUGUES TUPHILE</t>
  </si>
  <si>
    <t xml:space="preserve">LE LANDER</t>
  </si>
  <si>
    <t xml:space="preserve">LE LANDER AU NIVEAU DE SAINT FLOUR</t>
  </si>
  <si>
    <t xml:space="preserve">05097200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</si>
  <si>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</si>
  <si>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</si>
  <si>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</si>
  <si>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</si>
  <si>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</si>
  <si>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</si>
  <si>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</si>
  <si>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</si>
  <si>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</si>
  <si>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</si>
  <si>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</si>
  <si>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</si>
  <si>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très élevé</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</si>
  <si>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</si>
  <si>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</si>
  <si>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</si>
  <si>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</si>
  <si>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</si>
  <si>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</si>
  <si>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</si>
  <si>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</si>
  <si>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</si>
  <si>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</si>
  <si>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</si>
  <si>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</si>
  <si>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</si>
  <si>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</si>
  <si>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</si>
  <si>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</si>
  <si>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</si>
  <si>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</si>
  <si>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</si>
  <si>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</si>
  <si>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</si>
  <si>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</si>
  <si>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</si>
  <si>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</si>
  <si>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</si>
  <si>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</si>
  <si>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</si>
  <si>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</si>
  <si>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</si>
  <si>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</si>
  <si>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</si>
  <si>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</si>
  <si>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</si>
  <si>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</si>
  <si>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</si>
  <si>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</si>
  <si>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</si>
  <si>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</si>
  <si>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</si>
  <si>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</si>
  <si>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</si>
  <si>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</si>
  <si>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</si>
  <si>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</si>
  <si>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</si>
  <si>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</si>
  <si>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</si>
  <si>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</si>
  <si>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</si>
  <si>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</si>
  <si>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</si>
  <si>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</si>
  <si>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</si>
  <si>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</si>
  <si>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</si>
  <si>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</si>
  <si>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</si>
  <si>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</si>
  <si>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</si>
  <si>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</si>
  <si>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</si>
  <si>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</si>
  <si>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</si>
  <si>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</si>
  <si>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</si>
  <si>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</si>
  <si>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</si>
  <si>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</si>
  <si>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</si>
  <si>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</si>
  <si>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</si>
  <si>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</si>
  <si>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</si>
  <si>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</si>
  <si>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</si>
  <si>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</si>
  <si>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</si>
  <si>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</si>
  <si>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</si>
  <si>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</si>
  <si>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</si>
  <si>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</si>
  <si>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</si>
  <si>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</si>
  <si>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</si>
  <si>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</si>
  <si>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</si>
  <si>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</si>
  <si>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</si>
  <si>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</si>
  <si>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</si>
  <si>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</si>
  <si>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</si>
  <si>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</si>
  <si>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peu 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</si>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</sst>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7" colorId="64" zoomScale="100" zoomScaleNormal="100" zoomScalePageLayoutView="100" workbookViewId="0">
      <selection pane="topLeft" activeCell="A7" activeCellId="0" sqref="A7"/>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22" colorId="64" zoomScale="100" zoomScaleNormal="100" zoomScalePageLayoutView="100" workbookViewId="0">
      <selection pane="topLeft" activeCell="C1" activeCellId="0" sqref="C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true" showOutlineSymbols="true" defaultGridColor="true" view="normal" topLeftCell="C1" colorId="64" zoomScale="100" zoomScaleNormal="100" zoomScalePageLayoutView="100" workbookViewId="0">
      <selection pane="topLeft" activeCell="G14" activeCellId="0" sqref="G14"/>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64" zoomScaleNormal="64" zoomScalePageLayoutView="100" workbookViewId="0">
      <pane xSplit="1" ySplit="4" topLeftCell="H5" activePane="bottomRight" state="frozen"/>
      <selection pane="topLeft" activeCell="A1" activeCellId="0" sqref="A1"/>
      <selection pane="topRight" activeCell="H1" activeCellId="0" sqref="H1"/>
      <selection pane="bottomLeft" activeCell="A5" activeCellId="0" sqref="A5"/>
      <selection pane="bottomRight" activeCell="K5" activeCellId="0" sqref="K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58" zoomScaleNormal="58"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42612</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10.8</v>
      </c>
      <c r="N5" s="327"/>
      <c r="O5" s="328" t="s">
        <v>195</v>
      </c>
      <c r="P5" s="329" t="n">
        <v>8</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3393</v>
      </c>
      <c r="Q6" s="342"/>
      <c r="R6" s="285"/>
      <c r="S6" s="285"/>
      <c r="T6" s="285"/>
      <c r="U6" s="285"/>
      <c r="V6" s="285"/>
      <c r="W6" s="299"/>
    </row>
    <row r="7" customFormat="false" ht="12.75" hidden="false" customHeight="false" outlineLevel="0" collapsed="false">
      <c r="A7" s="343" t="s">
        <v>3394</v>
      </c>
      <c r="B7" s="344" t="n">
        <v>16</v>
      </c>
      <c r="C7" s="345" t="n">
        <v>84</v>
      </c>
      <c r="D7" s="333"/>
      <c r="E7" s="333"/>
      <c r="F7" s="346" t="n">
        <f aca="false">B7+C7</f>
        <v>100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9.42857142857143</v>
      </c>
      <c r="P8" s="359" t="n">
        <f aca="false">IF(ISERROR(AVERAGE(K23:K82)),"  ",AVERAGE(K23:K82))</f>
        <v>1.28571428571429</v>
      </c>
      <c r="Q8" s="360"/>
      <c r="R8" s="285"/>
      <c r="S8" s="285"/>
      <c r="T8" s="285"/>
      <c r="U8" s="285"/>
      <c r="V8" s="285"/>
      <c r="W8" s="299"/>
    </row>
    <row r="9" customFormat="false" ht="12.75" hidden="false" customHeight="false" outlineLevel="0" collapsed="false">
      <c r="A9" s="317" t="s">
        <v>3400</v>
      </c>
      <c r="B9" s="344" t="n">
        <v>6</v>
      </c>
      <c r="C9" s="345" t="n">
        <v>2</v>
      </c>
      <c r="D9" s="361"/>
      <c r="E9" s="361"/>
      <c r="F9" s="362" t="n">
        <f aca="false">($B9*$B$7+$C9*$C$7)/100</f>
        <v>2.64</v>
      </c>
      <c r="G9" s="363"/>
      <c r="H9" s="320"/>
      <c r="I9" s="285"/>
      <c r="J9" s="364"/>
      <c r="K9" s="365"/>
      <c r="L9" s="350"/>
      <c r="M9" s="366"/>
      <c r="N9" s="358" t="s">
        <v>3401</v>
      </c>
      <c r="O9" s="359" t="n">
        <f aca="false">IF(ISERROR(STDEVP(J23:J82))," ",STDEVP(J23:J82))</f>
        <v>3.01695886884898</v>
      </c>
      <c r="P9" s="359" t="n">
        <f aca="false">IF(ISERROR(STDEVP(K23:K82)),"  ",STDEVP(K23:K82))</f>
        <v>0.451753951452626</v>
      </c>
      <c r="Q9" s="360"/>
      <c r="R9" s="285"/>
      <c r="S9" s="285"/>
      <c r="T9" s="285"/>
      <c r="U9" s="285"/>
      <c r="V9" s="285"/>
      <c r="W9" s="299"/>
    </row>
    <row r="10" customFormat="false" ht="12.75" hidden="false" customHeight="false" outlineLevel="0" collapsed="false">
      <c r="A10" s="317" t="s">
        <v>3402</v>
      </c>
      <c r="B10" s="367" t="s">
        <v>3403</v>
      </c>
      <c r="C10" s="368" t="s">
        <v>3403</v>
      </c>
      <c r="D10" s="361"/>
      <c r="E10" s="361"/>
      <c r="F10" s="362"/>
      <c r="G10" s="363"/>
      <c r="H10" s="333"/>
      <c r="I10" s="285"/>
      <c r="J10" s="369"/>
      <c r="K10" s="370" t="s">
        <v>3404</v>
      </c>
      <c r="L10" s="371"/>
      <c r="M10" s="372"/>
      <c r="N10" s="358" t="s">
        <v>3405</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5</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1</v>
      </c>
      <c r="M13" s="382"/>
      <c r="N13" s="390" t="s">
        <v>3413</v>
      </c>
      <c r="O13" s="391" t="n">
        <f aca="false">COUNTIF(F23:F82,"&gt;0")</f>
        <v>11</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7</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5</v>
      </c>
      <c r="M15" s="382"/>
      <c r="N15" s="390" t="s">
        <v>3419</v>
      </c>
      <c r="O15" s="391" t="n">
        <f aca="false">COUNTIF(K23:K82,"=1")</f>
        <v>5</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2</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0.636363636363636</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6.93</v>
      </c>
      <c r="C20" s="434" t="n">
        <f aca="false">SUM(C23:C82)</f>
        <v>1.905</v>
      </c>
      <c r="D20" s="435"/>
      <c r="E20" s="436" t="s">
        <v>3426</v>
      </c>
      <c r="F20" s="437" t="n">
        <f aca="false">($B20*$B$7+$C20*$C$7)/100</f>
        <v>2.709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1.1088</v>
      </c>
      <c r="C21" s="445" t="n">
        <f aca="false">C20*C7/100</f>
        <v>1.6002</v>
      </c>
      <c r="D21" s="446" t="s">
        <v>3429</v>
      </c>
      <c r="E21" s="447"/>
      <c r="F21" s="448" t="n">
        <f aca="false">B21+C21</f>
        <v>2.709</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134</v>
      </c>
      <c r="B23" s="474" t="n">
        <v>0.5</v>
      </c>
      <c r="C23" s="475" t="n">
        <v>0.25</v>
      </c>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0.29</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0.29</v>
      </c>
      <c r="S23" s="487" t="n">
        <f aca="false">IF(OR(ISTEXT(H23),R23=0),"",IF(R23&lt;0.1,1,IF(R23&lt;1,2,IF(R23&lt;10,3,IF(R23&lt;50,4,IF(R23&gt;=50,5,""))))))</f>
        <v>2</v>
      </c>
      <c r="T23" s="487" t="n">
        <f aca="false">IF(ISERROR(S23*J23),0,S23*J23)</f>
        <v>12</v>
      </c>
      <c r="U23" s="487" t="n">
        <f aca="false">IF(ISERROR(S23*J23*K23),0,S23*J23*K23)</f>
        <v>12</v>
      </c>
      <c r="V23" s="487" t="n">
        <f aca="false">IF(ISERROR(S23*K23),0,S23*K23)</f>
        <v>2</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195</v>
      </c>
      <c r="B24" s="491" t="n">
        <v>5</v>
      </c>
      <c r="C24" s="492" t="n">
        <v>1</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1.64</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1.64</v>
      </c>
      <c r="S24" s="487" t="n">
        <f aca="false">IF(OR(ISTEXT(H24),R24=0),"",IF(R24&lt;0.1,1,IF(R24&lt;1,2,IF(R24&lt;10,3,IF(R24&lt;50,4,IF(R24&gt;=50,5,""))))))</f>
        <v>3</v>
      </c>
      <c r="T24" s="487" t="n">
        <f aca="false">IF(ISERROR(S24*J24),0,S24*J24)</f>
        <v>45</v>
      </c>
      <c r="U24" s="487" t="n">
        <f aca="false">IF(ISERROR(S24*J24*K24),0,S24*J24*K24)</f>
        <v>90</v>
      </c>
      <c r="V24" s="502" t="n">
        <f aca="false">IF(ISERROR(S24*K24),0,S24*K24)</f>
        <v>6</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228</v>
      </c>
      <c r="B25" s="491" t="n">
        <v>0.02</v>
      </c>
      <c r="C25" s="492" t="n">
        <v>0.5</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0.4232</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0.4232</v>
      </c>
      <c r="S25" s="487" t="n">
        <f aca="false">IF(OR(ISTEXT(H25),R25=0),"",IF(R25&lt;0.1,1,IF(R25&lt;1,2,IF(R25&lt;10,3,IF(R25&lt;50,4,IF(R25&gt;=50,5,""))))))</f>
        <v>2</v>
      </c>
      <c r="T25" s="487" t="n">
        <f aca="false">IF(ISERROR(S25*J25),0,S25*J25)</f>
        <v>20</v>
      </c>
      <c r="U25" s="487" t="n">
        <f aca="false">IF(ISERROR(S25*J25*K25),0,S25*J25*K25)</f>
        <v>20</v>
      </c>
      <c r="V25" s="502" t="n">
        <f aca="false">IF(ISERROR(S25*K25),0,S25*K25)</f>
        <v>2</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306</v>
      </c>
      <c r="B26" s="491" t="n">
        <v>1</v>
      </c>
      <c r="C26" s="492" t="n">
        <v>0.01</v>
      </c>
      <c r="D26" s="493" t="str">
        <f aca="false">IF(ISERROR(VLOOKUP($A26,'liste reference'!$A$6:$B$1174,2,0)),IF(ISERROR(VLOOKUP($A26,'liste reference'!$B$6:$B$1174,1,0)),"",VLOOKUP($A26,'liste reference'!$B$6:$B$1174,1,0)),VLOOKUP($A26,'liste reference'!$A$6:$B$1174,2,0))</f>
        <v>Paralemanea sp.</v>
      </c>
      <c r="E26" s="494" t="e">
        <f aca="false">IF(D26="",,VLOOKUP(D26,D$22:D25,1,0))</f>
        <v>#N/A</v>
      </c>
      <c r="F26" s="495" t="n">
        <f aca="false">IF(AND(OR(A26="",A26="!!!!!!"),B26="",C26=""),"",IF(OR(AND(B26="",C26=""),ISERROR(C26+B26)),"!!!",($B26*$B$7+$C26*$C$7)/100))</f>
        <v>0.1684</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Paralemanea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31566</v>
      </c>
      <c r="R26" s="486" t="n">
        <f aca="false">IF(ISTEXT(H26),"",(B26*$B$7/100)+(C26*$C$7/100))</f>
        <v>0.1684</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PAASPX</v>
      </c>
      <c r="Z26" s="472" t="n">
        <f aca="false">IF(ISERROR(MATCH(A26,'liste reference'!$A$6:$A$1174,0)),IF(ISERROR(MATCH(A26,'liste reference'!$B$6:$B$1174,0)),"",(MATCH(A26,'liste reference'!$B$6:$B$1174,0))),(MATCH(A26,'liste reference'!$A$6:$A$1174,0)))</f>
        <v>87</v>
      </c>
    </row>
    <row r="27" customFormat="false" ht="12.75" hidden="false" customHeight="false" outlineLevel="0" collapsed="false">
      <c r="A27" s="490" t="s">
        <v>343</v>
      </c>
      <c r="B27" s="491"/>
      <c r="C27" s="492" t="n">
        <v>0.005</v>
      </c>
      <c r="D27" s="493" t="str">
        <f aca="false">IF(ISERROR(VLOOKUP($A27,'liste reference'!$A$6:$B$1174,2,0)),IF(ISERROR(VLOOKUP($A27,'liste reference'!$B$6:$B$1174,1,0)),"",VLOOKUP($A27,'liste reference'!$B$6:$B$1174,1,0)),VLOOKUP($A27,'liste reference'!$A$6:$B$1174,2,0))</f>
        <v>Spirogyra sp.</v>
      </c>
      <c r="E27" s="494" t="e">
        <f aca="false">IF(D27="",,VLOOKUP(D27,D$22:D26,1,0))</f>
        <v>#N/A</v>
      </c>
      <c r="F27" s="495" t="n">
        <f aca="false">IF(AND(OR(A27="",A27="!!!!!!"),B27="",C27=""),"",IF(OR(AND(B27="",C27=""),ISERROR(C27+B27)),"!!!",($B27*$B$7+$C27*$C$7)/100))</f>
        <v>0.0042</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10</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Spirogyra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1147</v>
      </c>
      <c r="R27" s="486" t="n">
        <f aca="false">IF(ISTEXT(H27),"",(B27*$B$7/100)+(C27*$C$7/100))</f>
        <v>0.0042</v>
      </c>
      <c r="S27" s="487" t="n">
        <f aca="false">IF(OR(ISTEXT(H27),R27=0),"",IF(R27&lt;0.1,1,IF(R27&lt;1,2,IF(R27&lt;10,3,IF(R27&lt;50,4,IF(R27&gt;=50,5,""))))))</f>
        <v>1</v>
      </c>
      <c r="T27" s="487" t="n">
        <f aca="false">IF(ISERROR(S27*J27),0,S27*J27)</f>
        <v>10</v>
      </c>
      <c r="U27" s="487" t="n">
        <f aca="false">IF(ISERROR(S27*J27*K27),0,S27*J27*K27)</f>
        <v>10</v>
      </c>
      <c r="V27" s="502" t="n">
        <f aca="false">IF(ISERROR(S27*K27),0,S27*K27)</f>
        <v>1</v>
      </c>
      <c r="W27" s="503"/>
      <c r="X27" s="504"/>
      <c r="Y27" s="487" t="str">
        <f aca="false">IF(AND(ISNUMBER(F27),OR(A27="",A27="!!!!!!")),"!!!!!!",IF(A27="new.cod","NEWCOD",IF(AND((Z27=""),ISTEXT(A27),A27&lt;&gt;"!!!!!!"),A27,IF(Z27="","",INDEX('liste reference'!$A$6:$A$1174,Z27)))))</f>
        <v>SPISPX</v>
      </c>
      <c r="Z27" s="472" t="n">
        <f aca="false">IF(ISERROR(MATCH(A27,'liste reference'!$A$6:$A$1174,0)),IF(ISERROR(MATCH(A27,'liste reference'!$B$6:$B$1174,0)),"",(MATCH(A27,'liste reference'!$B$6:$B$1174,0))),(MATCH(A27,'liste reference'!$A$6:$A$1174,0)))</f>
        <v>102</v>
      </c>
    </row>
    <row r="28" customFormat="false" ht="12.75" hidden="false" customHeight="false" outlineLevel="0" collapsed="false">
      <c r="A28" s="490" t="s">
        <v>974</v>
      </c>
      <c r="B28" s="491" t="n">
        <v>0.01</v>
      </c>
      <c r="C28" s="492" t="n">
        <v>0.005</v>
      </c>
      <c r="D28" s="493" t="str">
        <f aca="false">IF(ISERROR(VLOOKUP($A28,'liste reference'!$A$6:$B$1174,2,0)),IF(ISERROR(VLOOKUP($A28,'liste reference'!$B$6:$B$1174,1,0)),"",VLOOKUP($A28,'liste reference'!$B$6:$B$1174,1,0)),VLOOKUP($A28,'liste reference'!$A$6:$B$1174,2,0))</f>
        <v>Leptodictyum riparium </v>
      </c>
      <c r="E28" s="494" t="e">
        <f aca="false">IF(D28="",,VLOOKUP(D28,D$22:D27,1,0))</f>
        <v>#N/A</v>
      </c>
      <c r="F28" s="495" t="n">
        <f aca="false">IF(AND(OR(A28="",A28="!!!!!!"),B28="",C28=""),"",IF(OR(AND(B28="",C28=""),ISERROR(C28+B28)),"!!!",($B28*$B$7+$C28*$C$7)/100))</f>
        <v>0.0058</v>
      </c>
      <c r="G28" s="496" t="str">
        <f aca="false">IF(A28="","",IF(ISERROR(VLOOKUP($A28,'liste reference'!$A$6:$Q$1174,9,0)),IF(ISERROR(VLOOKUP($A28,'liste reference'!$B$6:$Q$1174,8,0)),"    -",VLOOKUP($A28,'liste reference'!$B$6:$Q$1174,8,0)),VLOOKUP($A28,'liste reference'!$A$6:$Q$1174,9,0)))</f>
        <v>BRm</v>
      </c>
      <c r="H28" s="497" t="n">
        <f aca="false">IF(A28="","x",IF(ISERROR(VLOOKUP($A28,'liste reference'!$A$6:$Q$1174,10,0)),IF(ISERROR(VLOOKUP($A28,'liste reference'!$B$6:$Q$1174,9,0)),"x",VLOOKUP($A28,'liste reference'!$B$6:$Q$1174,9,0)),VLOOKUP($A28,'liste reference'!$A$6:$Q$1174,10,0)))</f>
        <v>5</v>
      </c>
      <c r="I28" s="285" t="n">
        <f aca="false">IF(A28="","",1)</f>
        <v>1</v>
      </c>
      <c r="J28" s="498" t="n">
        <f aca="false">IF(ISNUMBER($H28),IF(ISERROR(VLOOKUP($A28,'liste reference'!$A$6:$Q$1174,6,0)),IF(ISERROR(VLOOKUP($A28,'liste reference'!$B$6:$Q$1174,5,0)),"nu",VLOOKUP($A28,'liste reference'!$B$6:$Q$1174,5,0)),VLOOKUP($A28,'liste reference'!$A$6:$Q$1174,6,0)),"nu")</f>
        <v>5</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Leptodictyum riparium </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1244</v>
      </c>
      <c r="R28" s="486" t="n">
        <f aca="false">IF(ISTEXT(H28),"",(B28*$B$7/100)+(C28*$C$7/100))</f>
        <v>0.0058</v>
      </c>
      <c r="S28" s="487" t="n">
        <f aca="false">IF(OR(ISTEXT(H28),R28=0),"",IF(R28&lt;0.1,1,IF(R28&lt;1,2,IF(R28&lt;10,3,IF(R28&lt;50,4,IF(R28&gt;=50,5,""))))))</f>
        <v>1</v>
      </c>
      <c r="T28" s="487" t="n">
        <f aca="false">IF(ISERROR(S28*J28),0,S28*J28)</f>
        <v>5</v>
      </c>
      <c r="U28" s="487" t="n">
        <f aca="false">IF(ISERROR(S28*J28*K28),0,S28*J28*K28)</f>
        <v>10</v>
      </c>
      <c r="V28" s="502" t="n">
        <f aca="false">IF(ISERROR(S28*K28),0,S28*K28)</f>
        <v>2</v>
      </c>
      <c r="W28" s="503"/>
      <c r="X28" s="504"/>
      <c r="Y28" s="487" t="str">
        <f aca="false">IF(AND(ISNUMBER(F28),OR(A28="",A28="!!!!!!")),"!!!!!!",IF(A28="new.cod","NEWCOD",IF(AND((Z28=""),ISTEXT(A28),A28&lt;&gt;"!!!!!!"),A28,IF(Z28="","",INDEX('liste reference'!$A$6:$A$1174,Z28)))))</f>
        <v>LEORIP</v>
      </c>
      <c r="Z28" s="472" t="n">
        <f aca="false">IF(ISERROR(MATCH(A28,'liste reference'!$A$6:$A$1174,0)),IF(ISERROR(MATCH(A28,'liste reference'!$B$6:$B$1174,0)),"",(MATCH(A28,'liste reference'!$B$6:$B$1174,0))),(MATCH(A28,'liste reference'!$A$6:$A$1174,0)))</f>
        <v>298</v>
      </c>
    </row>
    <row r="29" customFormat="false" ht="12.75" hidden="false" customHeight="false" outlineLevel="0" collapsed="false">
      <c r="A29" s="490" t="s">
        <v>2170</v>
      </c>
      <c r="B29" s="491" t="n">
        <v>0.3</v>
      </c>
      <c r="C29" s="492" t="n">
        <v>0.02</v>
      </c>
      <c r="D29" s="493" t="str">
        <f aca="false">IF(ISERROR(VLOOKUP($A29,'liste reference'!$A$6:$B$1174,2,0)),IF(ISERROR(VLOOKUP($A29,'liste reference'!$B$6:$B$1174,1,0)),"",VLOOKUP($A29,'liste reference'!$B$6:$B$1174,1,0)),VLOOKUP($A29,'liste reference'!$A$6:$B$1174,2,0))</f>
        <v>Phalaris arundinacea</v>
      </c>
      <c r="E29" s="494" t="e">
        <f aca="false">IF(D29="",,VLOOKUP(D29,D$22:D28,1,0))</f>
        <v>#N/A</v>
      </c>
      <c r="F29" s="495" t="n">
        <f aca="false">IF(AND(OR(A29="",A29="!!!!!!"),B29="",C29=""),"",IF(OR(AND(B29="",C29=""),ISERROR(C29+B29)),"!!!",($B29*$B$7+$C29*$C$7)/100))</f>
        <v>0.0648</v>
      </c>
      <c r="G29" s="496" t="str">
        <f aca="false">IF(A29="","",IF(ISERROR(VLOOKUP($A29,'liste reference'!$A$6:$Q$1174,9,0)),IF(ISERROR(VLOOKUP($A29,'liste reference'!$B$6:$Q$1174,8,0)),"    -",VLOOKUP($A29,'liste reference'!$B$6:$Q$1174,8,0)),VLOOKUP($A29,'liste reference'!$A$6:$Q$1174,9,0)))</f>
        <v>PHe</v>
      </c>
      <c r="H29" s="497" t="n">
        <f aca="false">IF(A29="","x",IF(ISERROR(VLOOKUP($A29,'liste reference'!$A$6:$Q$1174,10,0)),IF(ISERROR(VLOOKUP($A29,'liste reference'!$B$6:$Q$1174,9,0)),"x",VLOOKUP($A29,'liste reference'!$B$6:$Q$1174,9,0)),VLOOKUP($A29,'liste reference'!$A$6:$Q$1174,10,0)))</f>
        <v>8</v>
      </c>
      <c r="I29" s="285" t="n">
        <f aca="false">IF(A29="","",1)</f>
        <v>1</v>
      </c>
      <c r="J29" s="498" t="n">
        <f aca="false">IF(ISNUMBER($H29),IF(ISERROR(VLOOKUP($A29,'liste reference'!$A$6:$Q$1174,6,0)),IF(ISERROR(VLOOKUP($A29,'liste reference'!$B$6:$Q$1174,5,0)),"nu",VLOOKUP($A29,'liste reference'!$B$6:$Q$1174,5,0)),VLOOKUP($A29,'liste reference'!$A$6:$Q$1174,6,0)),"nu")</f>
        <v>10</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Phalaris arundinacea</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1577</v>
      </c>
      <c r="R29" s="486" t="n">
        <f aca="false">IF(ISTEXT(H29),"",(B29*$B$7/100)+(C29*$C$7/100))</f>
        <v>0.0648</v>
      </c>
      <c r="S29" s="487" t="n">
        <f aca="false">IF(OR(ISTEXT(H29),R29=0),"",IF(R29&lt;0.1,1,IF(R29&lt;1,2,IF(R29&lt;10,3,IF(R29&lt;50,4,IF(R29&gt;=50,5,""))))))</f>
        <v>1</v>
      </c>
      <c r="T29" s="487" t="n">
        <f aca="false">IF(ISERROR(S29*J29),0,S29*J29)</f>
        <v>10</v>
      </c>
      <c r="U29" s="487" t="n">
        <f aca="false">IF(ISERROR(S29*J29*K29),0,S29*J29*K29)</f>
        <v>10</v>
      </c>
      <c r="V29" s="502" t="n">
        <f aca="false">IF(ISERROR(S29*K29),0,S29*K29)</f>
        <v>1</v>
      </c>
      <c r="W29" s="503"/>
      <c r="X29" s="504"/>
      <c r="Y29" s="487" t="str">
        <f aca="false">IF(AND(ISNUMBER(F29),OR(A29="",A29="!!!!!!")),"!!!!!!",IF(A29="new.cod","NEWCOD",IF(AND((Z29=""),ISTEXT(A29),A29&lt;&gt;"!!!!!!"),A29,IF(Z29="","",INDEX('liste reference'!$A$6:$A$1174,Z29)))))</f>
        <v>PHAARU</v>
      </c>
      <c r="Z29" s="472" t="n">
        <f aca="false">IF(ISERROR(MATCH(A29,'liste reference'!$A$6:$A$1174,0)),IF(ISERROR(MATCH(A29,'liste reference'!$B$6:$B$1174,0)),"",(MATCH(A29,'liste reference'!$B$6:$B$1174,0))),(MATCH(A29,'liste reference'!$A$6:$A$1174,0)))</f>
        <v>707</v>
      </c>
    </row>
    <row r="30" customFormat="false" ht="12.75" hidden="false" customHeight="false" outlineLevel="0" collapsed="false">
      <c r="A30" s="490" t="s">
        <v>2240</v>
      </c>
      <c r="B30" s="491"/>
      <c r="C30" s="492" t="n">
        <v>0.1</v>
      </c>
      <c r="D30" s="493" t="str">
        <f aca="false">IF(ISERROR(VLOOKUP($A30,'liste reference'!$A$6:$B$1174,2,0)),IF(ISERROR(VLOOKUP($A30,'liste reference'!$B$6:$B$1174,1,0)),"",VLOOKUP($A30,'liste reference'!$B$6:$B$1174,1,0)),VLOOKUP($A30,'liste reference'!$A$6:$B$1174,2,0))</f>
        <v>Sparganium erectum</v>
      </c>
      <c r="E30" s="494" t="e">
        <f aca="false">IF(D30="",,VLOOKUP(D30,D$22:D29,1,0))</f>
        <v>#N/A</v>
      </c>
      <c r="F30" s="495" t="n">
        <f aca="false">IF(AND(OR(A30="",A30="!!!!!!"),B30="",C30=""),"",IF(OR(AND(B30="",C30=""),ISERROR(C30+B30)),"!!!",($B30*$B$7+$C30*$C$7)/100))</f>
        <v>0.084</v>
      </c>
      <c r="G30" s="496" t="str">
        <f aca="false">IF(A30="","",IF(ISERROR(VLOOKUP($A30,'liste reference'!$A$6:$Q$1174,9,0)),IF(ISERROR(VLOOKUP($A30,'liste reference'!$B$6:$Q$1174,8,0)),"    -",VLOOKUP($A30,'liste reference'!$B$6:$Q$1174,8,0)),VLOOKUP($A30,'liste reference'!$A$6:$Q$1174,9,0)))</f>
        <v>PHe</v>
      </c>
      <c r="H30" s="497" t="n">
        <f aca="false">IF(A30="","x",IF(ISERROR(VLOOKUP($A30,'liste reference'!$A$6:$Q$1174,10,0)),IF(ISERROR(VLOOKUP($A30,'liste reference'!$B$6:$Q$1174,9,0)),"x",VLOOKUP($A30,'liste reference'!$B$6:$Q$1174,9,0)),VLOOKUP($A30,'liste reference'!$A$6:$Q$1174,10,0)))</f>
        <v>8</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Sparganium erectum</v>
      </c>
      <c r="M30" s="499"/>
      <c r="N30" s="499"/>
      <c r="O30" s="499"/>
      <c r="P30" s="500" t="s">
        <v>3450</v>
      </c>
      <c r="Q30" s="501" t="n">
        <f aca="false">IF(OR($A30="NEWCOD",$A30="!!!!!!"),IF(X30="","NoCod",X30),IF($A30="","",IF(ISERROR(VLOOKUP($A30,'liste reference'!$A$6:$H$1174,8,FALSE())),IF(ISERROR(VLOOKUP($A30,'liste reference'!$B$6:$H$1174,7,FALSE())),"",VLOOKUP($A30,'liste reference'!$B$6:$H$1174,7,FALSE())),VLOOKUP($A30,'liste reference'!$A$6:$H$1174,8,FALSE()))))</f>
        <v>1671</v>
      </c>
      <c r="R30" s="486" t="n">
        <f aca="false">IF(ISTEXT(H30),"",(B30*$B$7/100)+(C30*$C$7/100))</f>
        <v>0.084</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SPAERE</v>
      </c>
      <c r="Z30" s="472" t="n">
        <f aca="false">IF(ISERROR(MATCH(A30,'liste reference'!$A$6:$A$1174,0)),IF(ISERROR(MATCH(A30,'liste reference'!$B$6:$B$1174,0)),"",(MATCH(A30,'liste reference'!$B$6:$B$1174,0))),(MATCH(A30,'liste reference'!$A$6:$A$1174,0)))</f>
        <v>732</v>
      </c>
    </row>
    <row r="31" customFormat="false" ht="12.75" hidden="false" customHeight="false" outlineLevel="0" collapsed="false">
      <c r="A31" s="490" t="s">
        <v>2688</v>
      </c>
      <c r="B31" s="491"/>
      <c r="C31" s="492" t="n">
        <v>0.005</v>
      </c>
      <c r="D31" s="493" t="str">
        <f aca="false">IF(ISERROR(VLOOKUP($A31,'liste reference'!$A$6:$B$1174,2,0)),IF(ISERROR(VLOOKUP($A31,'liste reference'!$B$6:$B$1174,1,0)),"",VLOOKUP($A31,'liste reference'!$B$6:$B$1174,1,0)),VLOOKUP($A31,'liste reference'!$A$6:$B$1174,2,0))</f>
        <v>Lysimachia vulgaris</v>
      </c>
      <c r="E31" s="494" t="e">
        <f aca="false">IF(D31="",,VLOOKUP(D31,D$22:D30,1,0))</f>
        <v>#N/A</v>
      </c>
      <c r="F31" s="495" t="n">
        <f aca="false">IF(AND(OR(A31="",A31="!!!!!!"),B31="",C31=""),"",IF(OR(AND(B31="",C31=""),ISERROR(C31+B31)),"!!!",($B31*$B$7+$C31*$C$7)/100))</f>
        <v>0.0042</v>
      </c>
      <c r="G31" s="496" t="str">
        <f aca="false">IF(A31="","",IF(ISERROR(VLOOKUP($A31,'liste reference'!$A$6:$Q$1174,9,0)),IF(ISERROR(VLOOKUP($A31,'liste reference'!$B$6:$Q$1174,8,0)),"    -",VLOOKUP($A31,'liste reference'!$B$6:$Q$1174,8,0)),VLOOKUP($A31,'liste reference'!$A$6:$Q$1174,9,0)))</f>
        <v>PHg</v>
      </c>
      <c r="H31" s="497" t="n">
        <f aca="false">IF(A31="","x",IF(ISERROR(VLOOKUP($A31,'liste reference'!$A$6:$Q$1174,10,0)),IF(ISERROR(VLOOKUP($A31,'liste reference'!$B$6:$Q$1174,9,0)),"x",VLOOKUP($A31,'liste reference'!$B$6:$Q$1174,9,0)),VLOOKUP($A31,'liste reference'!$A$6:$Q$1174,10,0)))</f>
        <v>9</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Lysimachia vulgaris</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1887</v>
      </c>
      <c r="R31" s="486" t="n">
        <f aca="false">IF(ISTEXT(H31),"",(B31*$B$7/100)+(C31*$C$7/100))</f>
        <v>0.0042</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LYSVUL</v>
      </c>
      <c r="Z31" s="472" t="n">
        <f aca="false">IF(ISERROR(MATCH(A31,'liste reference'!$A$6:$A$1174,0)),IF(ISERROR(MATCH(A31,'liste reference'!$B$6:$B$1174,0)),"",(MATCH(A31,'liste reference'!$B$6:$B$1174,0))),(MATCH(A31,'liste reference'!$A$6:$A$1174,0)))</f>
        <v>899</v>
      </c>
    </row>
    <row r="32" customFormat="false" ht="12.75" hidden="false" customHeight="false" outlineLevel="0" collapsed="false">
      <c r="A32" s="490" t="s">
        <v>2970</v>
      </c>
      <c r="B32" s="491" t="n">
        <v>0.1</v>
      </c>
      <c r="C32" s="492" t="n">
        <v>0.005</v>
      </c>
      <c r="D32" s="493" t="str">
        <f aca="false">IF(ISERROR(VLOOKUP($A32,'liste reference'!$A$6:$B$1174,2,0)),IF(ISERROR(VLOOKUP($A32,'liste reference'!$B$6:$B$1174,1,0)),"",VLOOKUP($A32,'liste reference'!$B$6:$B$1174,1,0)),VLOOKUP($A32,'liste reference'!$A$6:$B$1174,2,0))</f>
        <v>Agrostis sp.</v>
      </c>
      <c r="E32" s="494" t="e">
        <f aca="false">IF(D32="",,VLOOKUP(D32,D$22:D31,1,0))</f>
        <v>#N/A</v>
      </c>
      <c r="F32" s="495" t="n">
        <f aca="false">IF(AND(OR(A32="",A32="!!!!!!"),B32="",C32=""),"",IF(OR(AND(B32="",C32=""),ISERROR(C32+B32)),"!!!",($B32*$B$7+$C32*$C$7)/100))</f>
        <v>0.0202</v>
      </c>
      <c r="G32" s="496" t="str">
        <f aca="false">IF(A32="","",IF(ISERROR(VLOOKUP($A32,'liste reference'!$A$6:$Q$1174,9,0)),IF(ISERROR(VLOOKUP($A32,'liste reference'!$B$6:$Q$1174,8,0)),"    -",VLOOKUP($A32,'liste reference'!$B$6:$Q$1174,8,0)),VLOOKUP($A32,'liste reference'!$A$6:$Q$1174,9,0)))</f>
        <v>PHx</v>
      </c>
      <c r="H32" s="497" t="n">
        <f aca="false">IF(A32="","x",IF(ISERROR(VLOOKUP($A32,'liste reference'!$A$6:$Q$1174,10,0)),IF(ISERROR(VLOOKUP($A32,'liste reference'!$B$6:$Q$1174,9,0)),"x",VLOOKUP($A32,'liste reference'!$B$6:$Q$1174,9,0)),VLOOKUP($A32,'liste reference'!$A$6:$Q$1174,10,0)))</f>
        <v>10</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Agrostis sp.</v>
      </c>
      <c r="M32" s="499"/>
      <c r="N32" s="499"/>
      <c r="O32" s="499"/>
      <c r="P32" s="500" t="s">
        <v>3450</v>
      </c>
      <c r="Q32" s="501" t="n">
        <f aca="false">IF(OR($A32="NEWCOD",$A32="!!!!!!"),IF(X32="","NoCod",X32),IF($A32="","",IF(ISERROR(VLOOKUP($A32,'liste reference'!$A$6:$H$1174,8,FALSE())),IF(ISERROR(VLOOKUP($A32,'liste reference'!$B$6:$H$1174,7,FALSE())),"",VLOOKUP($A32,'liste reference'!$B$6:$H$1174,7,FALSE())),VLOOKUP($A32,'liste reference'!$A$6:$H$1174,8,FALSE()))))</f>
        <v>1542</v>
      </c>
      <c r="R32" s="486" t="n">
        <f aca="false">IF(ISTEXT(H32),"",(B32*$B$7/100)+(C32*$C$7/100))</f>
        <v>0.0202</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AGRSPX</v>
      </c>
      <c r="Z32" s="472" t="n">
        <f aca="false">IF(ISERROR(MATCH(A32,'liste reference'!$A$6:$A$1174,0)),IF(ISERROR(MATCH(A32,'liste reference'!$B$6:$B$1174,0)),"",(MATCH(A32,'liste reference'!$B$6:$B$1174,0))),(MATCH(A32,'liste reference'!$A$6:$A$1174,0)))</f>
        <v>1002</v>
      </c>
    </row>
    <row r="33" customFormat="false" ht="12.75" hidden="false" customHeight="false" outlineLevel="0" collapsed="false">
      <c r="A33" s="490" t="s">
        <v>3252</v>
      </c>
      <c r="B33" s="491"/>
      <c r="C33" s="492" t="n">
        <v>0.005</v>
      </c>
      <c r="D33" s="493" t="str">
        <f aca="false">IF(ISERROR(VLOOKUP($A33,'liste reference'!$A$6:$B$1174,2,0)),IF(ISERROR(VLOOKUP($A33,'liste reference'!$B$6:$B$1174,1,0)),"",VLOOKUP($A33,'liste reference'!$B$6:$B$1174,1,0)),VLOOKUP($A33,'liste reference'!$A$6:$B$1174,2,0))</f>
        <v>Ranunculus repens</v>
      </c>
      <c r="E33" s="494" t="e">
        <f aca="false">IF(D33="",,VLOOKUP(D33,D$22:D32,1,0))</f>
        <v>#N/A</v>
      </c>
      <c r="F33" s="495" t="n">
        <f aca="false">IF(AND(OR(A33="",A33="!!!!!!"),B33="",C33=""),"",IF(OR(AND(B33="",C33=""),ISERROR(C33+B33)),"!!!",($B33*$B$7+$C33*$C$7)/100))</f>
        <v>0.0042</v>
      </c>
      <c r="G33" s="496" t="str">
        <f aca="false">IF(A33="","",IF(ISERROR(VLOOKUP($A33,'liste reference'!$A$6:$Q$1174,9,0)),IF(ISERROR(VLOOKUP($A33,'liste reference'!$B$6:$Q$1174,8,0)),"    -",VLOOKUP($A33,'liste reference'!$B$6:$Q$1174,8,0)),VLOOKUP($A33,'liste reference'!$A$6:$Q$1174,9,0)))</f>
        <v>PHx</v>
      </c>
      <c r="H33" s="497" t="n">
        <f aca="false">IF(A33="","x",IF(ISERROR(VLOOKUP($A33,'liste reference'!$A$6:$Q$1174,10,0)),IF(ISERROR(VLOOKUP($A33,'liste reference'!$B$6:$Q$1174,9,0)),"x",VLOOKUP($A33,'liste reference'!$B$6:$Q$1174,9,0)),VLOOKUP($A33,'liste reference'!$A$6:$Q$1174,10,0)))</f>
        <v>10</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Ranunculus repens</v>
      </c>
      <c r="M33" s="499"/>
      <c r="N33" s="499"/>
      <c r="O33" s="499"/>
      <c r="P33" s="500" t="s">
        <v>3450</v>
      </c>
      <c r="Q33" s="501" t="n">
        <f aca="false">IF(OR($A33="NEWCOD",$A33="!!!!!!"),IF(X33="","NoCod",X33),IF($A33="","",IF(ISERROR(VLOOKUP($A33,'liste reference'!$A$6:$H$1174,8,FALSE())),IF(ISERROR(VLOOKUP($A33,'liste reference'!$B$6:$H$1174,7,FALSE())),"",VLOOKUP($A33,'liste reference'!$B$6:$H$1174,7,FALSE())),VLOOKUP($A33,'liste reference'!$A$6:$H$1174,8,FALSE()))))</f>
        <v>1910</v>
      </c>
      <c r="R33" s="486" t="n">
        <f aca="false">IF(ISTEXT(H33),"",(B33*$B$7/100)+(C33*$C$7/100))</f>
        <v>0.0042</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RANREP</v>
      </c>
      <c r="Z33" s="472" t="n">
        <f aca="false">IF(ISERROR(MATCH(A33,'liste reference'!$A$6:$A$1174,0)),IF(ISERROR(MATCH(A33,'liste reference'!$B$6:$B$1174,0)),"",(MATCH(A33,'liste reference'!$B$6:$B$1174,0))),(MATCH(A33,'liste reference'!$A$6:$A$1174,0)))</f>
        <v>1128</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2.709</v>
      </c>
      <c r="G83" s="425"/>
      <c r="H83" s="425"/>
      <c r="I83" s="425"/>
      <c r="J83" s="425"/>
      <c r="K83" s="425"/>
      <c r="L83" s="425"/>
      <c r="M83" s="487"/>
      <c r="N83" s="487"/>
      <c r="O83" s="487"/>
      <c r="P83" s="487"/>
      <c r="Q83" s="487"/>
      <c r="R83" s="487"/>
      <c r="S83" s="487"/>
      <c r="T83" s="487"/>
      <c r="U83" s="487"/>
      <c r="V83" s="487" t="n">
        <f aca="false">SUM(V23:V82)</f>
        <v>15</v>
      </c>
      <c r="W83" s="487"/>
      <c r="X83" s="524"/>
      <c r="Y83" s="524"/>
      <c r="Z83" s="525"/>
    </row>
    <row r="84" customFormat="false" ht="12.75" hidden="true" customHeight="false" outlineLevel="0" collapsed="false">
      <c r="A84" s="519" t="str">
        <f aca="false">A3</f>
        <v>LE LANDER</v>
      </c>
      <c r="B84" s="454" t="str">
        <f aca="false">C3</f>
        <v>LE LANDER AU NIVEAU DE SAINT FLOUR</v>
      </c>
      <c r="C84" s="526" t="str">
        <f aca="false">A4</f>
        <v>(Date)</v>
      </c>
      <c r="D84" s="527" t="n">
        <f aca="false">IF(OR(ISERROR(SUM($U$23:$U$82)/SUM($V$23:$V$82)),F7&lt;&gt;100),-1,SUM($U$23:$U$82)/SUM($V$23:$V$82))</f>
        <v>10.8</v>
      </c>
      <c r="E84" s="528" t="n">
        <f aca="false">O13</f>
        <v>11</v>
      </c>
      <c r="F84" s="454" t="n">
        <f aca="false">O14</f>
        <v>7</v>
      </c>
      <c r="G84" s="454" t="n">
        <f aca="false">O15</f>
        <v>5</v>
      </c>
      <c r="H84" s="454" t="n">
        <f aca="false">O16</f>
        <v>2</v>
      </c>
      <c r="I84" s="454" t="n">
        <f aca="false">O17</f>
        <v>0</v>
      </c>
      <c r="J84" s="529" t="n">
        <f aca="false">O8</f>
        <v>9.42857142857143</v>
      </c>
      <c r="K84" s="530" t="n">
        <f aca="false">O9</f>
        <v>3.01695886884898</v>
      </c>
      <c r="L84" s="531" t="n">
        <f aca="false">O10</f>
        <v>5</v>
      </c>
      <c r="M84" s="531" t="n">
        <f aca="false">O11</f>
        <v>15</v>
      </c>
      <c r="N84" s="530" t="n">
        <f aca="false">P8</f>
        <v>1.28571428571429</v>
      </c>
      <c r="O84" s="530" t="n">
        <f aca="false">P9</f>
        <v>0.451753951452626</v>
      </c>
      <c r="P84" s="531" t="n">
        <f aca="false">P10</f>
        <v>1</v>
      </c>
      <c r="Q84" s="531" t="n">
        <f aca="false">P11</f>
        <v>2</v>
      </c>
      <c r="R84" s="531" t="n">
        <f aca="false">F21</f>
        <v>2.709</v>
      </c>
      <c r="S84" s="531" t="n">
        <f aca="false">L11</f>
        <v>0</v>
      </c>
      <c r="T84" s="531" t="n">
        <f aca="false">L12</f>
        <v>5</v>
      </c>
      <c r="U84" s="531" t="n">
        <f aca="false">L13</f>
        <v>1</v>
      </c>
      <c r="V84" s="532" t="n">
        <f aca="false">L15</f>
        <v>5</v>
      </c>
      <c r="W84" s="533" t="n">
        <f aca="false">L15</f>
        <v>5</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45</v>
      </c>
      <c r="U87" s="285"/>
      <c r="V87" s="285"/>
    </row>
    <row r="88" customFormat="false" ht="12.75" hidden="true" customHeight="false" outlineLevel="0" collapsed="false">
      <c r="C88" s="535"/>
      <c r="D88" s="535"/>
      <c r="E88" s="535"/>
      <c r="R88" s="285" t="s">
        <v>3453</v>
      </c>
      <c r="S88" s="285"/>
      <c r="T88" s="537" t="n">
        <f aca="false">VLOOKUP($T$91,($A$23:$U$82),21,FALSE())</f>
        <v>90</v>
      </c>
      <c r="U88" s="285"/>
      <c r="V88" s="285" t="n">
        <f aca="false">COUNTIF(V23:V82,T89)</f>
        <v>1</v>
      </c>
    </row>
    <row r="89" customFormat="false" ht="12.75" hidden="true" customHeight="false" outlineLevel="0" collapsed="false">
      <c r="C89" s="535"/>
      <c r="D89" s="535"/>
      <c r="E89" s="535"/>
      <c r="R89" s="285" t="s">
        <v>3454</v>
      </c>
      <c r="S89" s="285"/>
      <c r="T89" s="537" t="n">
        <f aca="false">MAX($V$23:$V$82)</f>
        <v>6</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8</v>
      </c>
      <c r="U90" s="285" t="n">
        <f aca="false">IF(ISERROR(T90),0,1)</f>
        <v>1</v>
      </c>
    </row>
    <row r="91" customFormat="false" ht="12.75" hidden="true" customHeight="false" outlineLevel="0" collapsed="false">
      <c r="C91" s="535"/>
      <c r="D91" s="535"/>
      <c r="E91" s="535"/>
      <c r="R91" s="487" t="s">
        <v>3456</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3457</v>
      </c>
      <c r="S92" s="285"/>
      <c r="T92" s="285" t="n">
        <f aca="false">MATCH(T89,$V$23:$V$82,0)</f>
        <v>2</v>
      </c>
      <c r="U92" s="285"/>
    </row>
    <row r="93" customFormat="false" ht="12.75" hidden="true" customHeight="false" outlineLevel="0" collapsed="false">
      <c r="C93" s="535"/>
      <c r="D93" s="535"/>
      <c r="E93" s="535"/>
      <c r="R93" s="487" t="s">
        <v>3458</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3459</v>
      </c>
      <c r="B2" s="290"/>
      <c r="C2" s="291" t="s">
        <v>3460</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3461</v>
      </c>
      <c r="B3" s="290"/>
      <c r="C3" s="289" t="s">
        <v>3462</v>
      </c>
      <c r="D3" s="300"/>
      <c r="E3" s="300"/>
      <c r="F3" s="301"/>
      <c r="G3" s="301"/>
      <c r="H3" s="300"/>
      <c r="I3" s="285"/>
      <c r="J3" s="292"/>
      <c r="K3" s="302"/>
      <c r="L3" s="303" t="s">
        <v>3463</v>
      </c>
      <c r="M3" s="304"/>
      <c r="N3" s="305" t="s">
        <v>3464</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3394</v>
      </c>
      <c r="B7" s="344"/>
      <c r="C7" s="345"/>
      <c r="D7" s="333"/>
      <c r="E7" s="333"/>
      <c r="F7" s="346" t="n">
        <f aca="false">B7+C7</f>
        <v>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3400</v>
      </c>
      <c r="B9" s="344"/>
      <c r="C9" s="345"/>
      <c r="D9" s="361"/>
      <c r="E9" s="361"/>
      <c r="F9" s="362" t="n">
        <f aca="false">($B9*$B$7+$C9*$C$7)/100</f>
        <v>0</v>
      </c>
      <c r="G9" s="363"/>
      <c r="H9" s="320"/>
      <c r="I9" s="285"/>
      <c r="J9" s="364"/>
      <c r="K9" s="365"/>
      <c r="L9" s="350"/>
      <c r="M9" s="366"/>
      <c r="N9" s="358" t="s">
        <v>3401</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3402</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3465</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0</v>
      </c>
      <c r="U87" s="285"/>
      <c r="V87" s="285"/>
    </row>
    <row r="88" customFormat="false" ht="12.75" hidden="true" customHeight="false" outlineLevel="0" collapsed="false">
      <c r="C88" s="535"/>
      <c r="D88" s="535"/>
      <c r="E88" s="535"/>
      <c r="R88" s="285" t="s">
        <v>3453</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3454</v>
      </c>
      <c r="S89" s="285"/>
      <c r="T89" s="537" t="n">
        <f aca="false">MAX($V$23:$V$82)</f>
        <v>0</v>
      </c>
      <c r="U89" s="285"/>
    </row>
    <row r="90" customFormat="false" ht="12.75" hidden="true" customHeight="false" outlineLevel="0" collapsed="false">
      <c r="C90" s="535"/>
      <c r="D90" s="535"/>
      <c r="E90" s="535"/>
      <c r="R90" s="285" t="s">
        <v>3455</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3456</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3457</v>
      </c>
      <c r="S92" s="285"/>
      <c r="T92" s="285" t="n">
        <f aca="false">MATCH(T89,$V$23:$V$82,0)</f>
        <v>1</v>
      </c>
      <c r="U92" s="285"/>
    </row>
    <row r="93" customFormat="false" ht="12.75" hidden="true" customHeight="false" outlineLevel="0" collapsed="false">
      <c r="C93" s="535"/>
      <c r="D93" s="535"/>
      <c r="E93" s="535"/>
      <c r="R93" s="487" t="s">
        <v>3458</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66" zoomScaleNormal="66"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5" activeCellId="0" sqref="A5"/>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3466</v>
      </c>
      <c r="B1" s="541"/>
      <c r="C1" s="541"/>
      <c r="D1" s="541"/>
      <c r="E1" s="542" t="s">
        <v>3467</v>
      </c>
      <c r="F1" s="543" t="s">
        <v>3468</v>
      </c>
      <c r="G1" s="544"/>
      <c r="H1" s="544"/>
      <c r="I1" s="544"/>
      <c r="J1" s="544"/>
      <c r="K1" s="544"/>
      <c r="L1" s="545"/>
    </row>
    <row r="2" customFormat="false" ht="13.8" hidden="false" customHeight="false" outlineLevel="0" collapsed="false">
      <c r="A2" s="546" t="s">
        <v>3469</v>
      </c>
      <c r="B2" s="547"/>
      <c r="C2" s="548"/>
      <c r="D2" s="548"/>
      <c r="E2" s="549"/>
      <c r="F2" s="543" t="s">
        <v>3470</v>
      </c>
      <c r="G2" s="544"/>
      <c r="H2" s="544"/>
      <c r="I2" s="544"/>
      <c r="J2" s="544"/>
      <c r="K2" s="544"/>
      <c r="L2" s="545"/>
    </row>
    <row r="3" customFormat="false" ht="13.8" hidden="false" customHeight="false" outlineLevel="0" collapsed="false">
      <c r="A3" s="546" t="s">
        <v>3471</v>
      </c>
      <c r="B3" s="547"/>
      <c r="C3" s="548"/>
      <c r="D3" s="550" t="s">
        <v>3472</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3473</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3474</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3450</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3488</v>
      </c>
    </row>
    <row r="39" customFormat="false" ht="13.8" hidden="false" customHeight="false" outlineLevel="0" collapsed="false">
      <c r="A39" s="562"/>
      <c r="B39" s="565" t="s">
        <v>2983</v>
      </c>
      <c r="C39" s="566"/>
      <c r="D39" s="567"/>
      <c r="F39" s="582" t="s">
        <v>3403</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Geoffroy Seveno</cp:lastModifiedBy>
  <cp:lastPrinted>2015-05-20T10:23:22Z</cp:lastPrinted>
  <dcterms:modified xsi:type="dcterms:W3CDTF">2017-02-17T14:17:17Z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