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05097860" sheetId="1" state="visible" r:id="rId3"/>
  </sheets>
  <externalReferences>
    <externalReference r:id="rId4"/>
    <externalReference r:id="rId5"/>
  </externalReferences>
  <definedNames>
    <definedName function="false" hidden="false" localSheetId="0" name="_xlnm.Print_Area" vbProcedure="false">'05097860'!$A$1:$O$82</definedName>
    <definedName function="false" hidden="false" name="Cf_" vbProcedure="false">'[1]liste codes réf'!$F$25:$F$26</definedName>
    <definedName function="false" hidden="false" name="NOM" vbProcedure="false">'[2]05150900'!$H$1</definedName>
    <definedName function="false" hidden="false" name="noms_taxons" vbProcedure="false">'[1]liste codes réf'!$B$8:$B$896</definedName>
    <definedName function="false" hidden="false" name="type_courant" vbProcedure="false">'[1]liste codes réf'!$F$16:$F$21</definedName>
    <definedName function="false" hidden="false" name="type_lent" vbProcedure="false">'[1]liste codes réf'!$H$16:$H$20</definedName>
    <definedName function="false" hidden="false" localSheetId="0" name="Excel_BuiltIn__FilterDatabase" vbProcedure="false">'05097860'!$A$23:$J$84</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16</xdr:colOff>
                <xdr:row>0</xdr:row>
                <xdr:rowOff>11</xdr:rowOff>
              </xdr:from>
              <xdr:to>
                <xdr:col>8</xdr:col>
                <xdr:colOff>15</xdr:colOff>
                <xdr:row>2</xdr:row>
                <xdr:rowOff>8</xdr:rowOff>
              </xdr:to>
            </anchor>
          </commentPr>
        </mc:Choice>
        <mc:Fallback/>
      </mc:AlternateContent>
    </comment>
    <comment ref="A3" authorId="0">
      <text>
        <r>
          <rPr>
            <sz val="8"/>
            <color rgb="FF000000"/>
            <rFont val="Tahoma"/>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16</xdr:colOff>
                <xdr:row>1</xdr:row>
                <xdr:rowOff>6</xdr:rowOff>
              </xdr:from>
              <xdr:to>
                <xdr:col>5</xdr:col>
                <xdr:colOff>10</xdr:colOff>
                <xdr:row>2</xdr:row>
                <xdr:rowOff>12</xdr:rowOff>
              </xdr:to>
            </anchor>
          </commentPr>
        </mc:Choice>
        <mc:Fallback/>
      </mc:AlternateContent>
    </comment>
    <comment ref="A4" authorId="0">
      <text>
        <r>
          <rPr>
            <sz val="8"/>
            <color rgb="FF000000"/>
            <rFont val="Tahoma"/>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16</xdr:colOff>
                <xdr:row>2</xdr:row>
                <xdr:rowOff>6</xdr:rowOff>
              </xdr:from>
              <xdr:to>
                <xdr:col>5</xdr:col>
                <xdr:colOff>10</xdr:colOff>
                <xdr:row>3</xdr:row>
                <xdr:rowOff>4</xdr:rowOff>
              </xdr:to>
            </anchor>
          </commentPr>
        </mc:Choice>
        <mc:Fallback/>
      </mc:AlternateContent>
    </comment>
    <comment ref="A22" authorId="0">
      <text>
        <r>
          <rPr>
            <b val="true"/>
            <sz val="8"/>
            <color rgb="FF000000"/>
            <rFont val="Tahoma"/>
            <family val="0"/>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16</xdr:colOff>
                <xdr:row>20</xdr:row>
                <xdr:rowOff>6</xdr:rowOff>
              </xdr:from>
              <xdr:to>
                <xdr:col>14</xdr:col>
                <xdr:colOff>36</xdr:colOff>
                <xdr:row>25</xdr:row>
                <xdr:rowOff>17</xdr:rowOff>
              </xdr:to>
            </anchor>
          </commentPr>
        </mc:Choice>
        <mc:Fallback/>
      </mc:AlternateContent>
    </comment>
    <comment ref="B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0</xdr:colOff>
                <xdr:row>2</xdr:row>
                <xdr:rowOff>7</xdr:rowOff>
              </xdr:from>
              <xdr:to>
                <xdr:col>5</xdr:col>
                <xdr:colOff>25</xdr:colOff>
                <xdr:row>9</xdr:row>
                <xdr:rowOff>1</xdr:rowOff>
              </xdr:to>
            </anchor>
          </commentPr>
        </mc:Choice>
        <mc:Fallback/>
      </mc:AlternateContent>
    </comment>
    <comment ref="B7" authorId="0">
      <text>
        <r>
          <rPr>
            <sz val="8"/>
            <color rgb="FF000000"/>
            <rFont val="Tahoma"/>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0</xdr:colOff>
                <xdr:row>4</xdr:row>
                <xdr:rowOff>18</xdr:rowOff>
              </xdr:from>
              <xdr:to>
                <xdr:col>6</xdr:col>
                <xdr:colOff>28</xdr:colOff>
                <xdr:row>6</xdr:row>
                <xdr:rowOff>12</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0</xdr:colOff>
                <xdr:row>17</xdr:row>
                <xdr:rowOff>13</xdr:rowOff>
              </xdr:from>
              <xdr:to>
                <xdr:col>6</xdr:col>
                <xdr:colOff>28</xdr:colOff>
                <xdr:row>20</xdr:row>
                <xdr:rowOff>5</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0</xdr:colOff>
                <xdr:row>18</xdr:row>
                <xdr:rowOff>15</xdr:rowOff>
              </xdr:from>
              <xdr:to>
                <xdr:col>6</xdr:col>
                <xdr:colOff>28</xdr:colOff>
                <xdr:row>21</xdr:row>
                <xdr:rowOff>8</xdr:rowOff>
              </xdr:to>
            </anchor>
          </commentPr>
        </mc:Choice>
        <mc:Fallback/>
      </mc:AlternateContent>
    </comment>
    <comment ref="B22" authorId="0">
      <text>
        <r>
          <rPr>
            <b val="true"/>
            <sz val="8"/>
            <color rgb="FF000000"/>
            <rFont val="Tahoma"/>
            <family val="0"/>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0</xdr:colOff>
                <xdr:row>20</xdr:row>
                <xdr:rowOff>6</xdr:rowOff>
              </xdr:from>
              <xdr:to>
                <xdr:col>6</xdr:col>
                <xdr:colOff>34</xdr:colOff>
                <xdr:row>23</xdr:row>
                <xdr:rowOff>6</xdr:rowOff>
              </xdr:to>
            </anchor>
          </commentPr>
        </mc:Choice>
        <mc:Fallback/>
      </mc:AlternateContent>
    </comment>
    <comment ref="C2" authorId="0">
      <text>
        <r>
          <rPr>
            <sz val="8"/>
            <color rgb="FF000000"/>
            <rFont val="Tahoma"/>
            <family val="0"/>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5</xdr:col>
                <xdr:colOff>16</xdr:colOff>
                <xdr:row>0</xdr:row>
                <xdr:rowOff>11</xdr:rowOff>
              </xdr:from>
              <xdr:to>
                <xdr:col>10</xdr:col>
                <xdr:colOff>5</xdr:colOff>
                <xdr:row>2</xdr:row>
                <xdr:rowOff>4</xdr:rowOff>
              </xdr:to>
            </anchor>
          </commentPr>
        </mc:Choice>
        <mc:Fallback/>
      </mc:AlternateContent>
    </comment>
    <comment ref="C3" authorId="0">
      <text>
        <r>
          <rPr>
            <sz val="8"/>
            <color rgb="FF000000"/>
            <rFont val="Tahoma"/>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16</xdr:colOff>
                <xdr:row>1</xdr:row>
                <xdr:rowOff>6</xdr:rowOff>
              </xdr:from>
              <xdr:to>
                <xdr:col>10</xdr:col>
                <xdr:colOff>1</xdr:colOff>
                <xdr:row>2</xdr:row>
                <xdr:rowOff>11</xdr:rowOff>
              </xdr:to>
            </anchor>
          </commentPr>
        </mc:Choice>
        <mc:Fallback/>
      </mc:AlternateContent>
    </comment>
    <comment ref="C6" authorId="0">
      <text>
        <r>
          <rPr>
            <sz val="8"/>
            <color rgb="FF000000"/>
            <rFont val="Tahoma"/>
            <family val="2"/>
          </rPr>
          <t xml:space="preserve">Type de faciès:
- ch. lentique
- mouille
- plat lent
- autre</t>
        </r>
      </text>
      <mc:AlternateContent>
        <mc:Choice Requires="v2">
          <commentPr autoFill="true" autoScale="false" colHidden="false" locked="false" rowHidden="false" textHAlign="justify" textVAlign="top">
            <anchor moveWithCells="false" sizeWithCells="false">
              <xdr:from>
                <xdr:col>5</xdr:col>
                <xdr:colOff>21</xdr:colOff>
                <xdr:row>1</xdr:row>
                <xdr:rowOff>14</xdr:rowOff>
              </xdr:from>
              <xdr:to>
                <xdr:col>10</xdr:col>
                <xdr:colOff>0</xdr:colOff>
                <xdr:row>6</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8</xdr:colOff>
                <xdr:row>6</xdr:row>
                <xdr:rowOff>1</xdr:rowOff>
              </xdr:from>
              <xdr:to>
                <xdr:col>10</xdr:col>
                <xdr:colOff>9</xdr:colOff>
                <xdr:row>7</xdr:row>
                <xdr:rowOff>15</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6</xdr:col>
                <xdr:colOff>0</xdr:colOff>
                <xdr:row>17</xdr:row>
                <xdr:rowOff>13</xdr:rowOff>
              </xdr:from>
              <xdr:to>
                <xdr:col>8</xdr:col>
                <xdr:colOff>0</xdr:colOff>
                <xdr:row>20</xdr:row>
                <xdr:rowOff>5</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6</xdr:col>
                <xdr:colOff>0</xdr:colOff>
                <xdr:row>18</xdr:row>
                <xdr:rowOff>15</xdr:rowOff>
              </xdr:from>
              <xdr:to>
                <xdr:col>11</xdr:col>
                <xdr:colOff>20</xdr:colOff>
                <xdr:row>20</xdr:row>
                <xdr:rowOff>12</xdr:rowOff>
              </xdr:to>
            </anchor>
          </commentPr>
        </mc:Choice>
        <mc:Fallback/>
      </mc:AlternateContent>
    </comment>
    <comment ref="C22" authorId="0">
      <text>
        <r>
          <rPr>
            <b val="true"/>
            <sz val="8"/>
            <color rgb="FF000000"/>
            <rFont val="Tahoma"/>
            <family val="0"/>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6</xdr:col>
                <xdr:colOff>0</xdr:colOff>
                <xdr:row>19</xdr:row>
                <xdr:rowOff>14</xdr:rowOff>
              </xdr:from>
              <xdr:to>
                <xdr:col>10</xdr:col>
                <xdr:colOff>0</xdr:colOff>
                <xdr:row>23</xdr:row>
                <xdr:rowOff>1</xdr:rowOff>
              </xdr:to>
            </anchor>
          </commentPr>
        </mc:Choice>
        <mc:Fallback/>
      </mc:AlternateContent>
    </comment>
    <comment ref="F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11</xdr:col>
                <xdr:colOff>0</xdr:colOff>
                <xdr:row>6</xdr:row>
                <xdr:rowOff>6</xdr:rowOff>
              </xdr:from>
              <xdr:to>
                <xdr:col>21</xdr:col>
                <xdr:colOff>0</xdr:colOff>
                <xdr:row>9</xdr:row>
                <xdr:rowOff>1</xdr:rowOff>
              </xdr:to>
            </anchor>
          </commentPr>
        </mc:Choice>
        <mc:Fallback/>
      </mc:AlternateContent>
    </comment>
    <comment ref="F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10</xdr:col>
                <xdr:colOff>12</xdr:colOff>
                <xdr:row>17</xdr:row>
                <xdr:rowOff>8</xdr:rowOff>
              </xdr:from>
              <xdr:to>
                <xdr:col>13</xdr:col>
                <xdr:colOff>51</xdr:colOff>
                <xdr:row>20</xdr:row>
                <xdr:rowOff>2</xdr:rowOff>
              </xdr:to>
            </anchor>
          </commentPr>
        </mc:Choice>
        <mc:Fallback/>
      </mc:AlternateContent>
    </comment>
    <comment ref="F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10</xdr:col>
                <xdr:colOff>12</xdr:colOff>
                <xdr:row>19</xdr:row>
                <xdr:rowOff>8</xdr:rowOff>
              </xdr:from>
              <xdr:to>
                <xdr:col>13</xdr:col>
                <xdr:colOff>51</xdr:colOff>
                <xdr:row>21</xdr:row>
                <xdr:rowOff>11</xdr:rowOff>
              </xdr:to>
            </anchor>
          </commentPr>
        </mc:Choice>
        <mc:Fallback/>
      </mc:AlternateContent>
    </comment>
    <comment ref="F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9</xdr:col>
                <xdr:colOff>2</xdr:colOff>
                <xdr:row>20</xdr:row>
                <xdr:rowOff>11</xdr:rowOff>
              </xdr:from>
              <xdr:to>
                <xdr:col>13</xdr:col>
                <xdr:colOff>29</xdr:colOff>
                <xdr:row>23</xdr:row>
                <xdr:rowOff>8</xdr:rowOff>
              </xdr:to>
            </anchor>
          </commentPr>
        </mc:Choice>
        <mc:Fallback/>
      </mc:AlternateContent>
    </comment>
    <comment ref="G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38</xdr:colOff>
                <xdr:row>5</xdr:row>
                <xdr:rowOff>7</xdr:rowOff>
              </xdr:from>
              <xdr:to>
                <xdr:col>13</xdr:col>
                <xdr:colOff>13</xdr:colOff>
                <xdr:row>8</xdr:row>
                <xdr:rowOff>14</xdr:rowOff>
              </xdr:to>
            </anchor>
          </commentPr>
        </mc:Choice>
        <mc:Fallback/>
      </mc:AlternateContent>
    </comment>
    <comment ref="G22" authorId="0">
      <text>
        <r>
          <rPr>
            <b val="true"/>
            <sz val="8"/>
            <color rgb="FF000000"/>
            <rFont val="Tahoma"/>
            <family val="0"/>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10</xdr:col>
                <xdr:colOff>12</xdr:colOff>
                <xdr:row>18</xdr:row>
                <xdr:rowOff>6</xdr:rowOff>
              </xdr:from>
              <xdr:to>
                <xdr:col>13</xdr:col>
                <xdr:colOff>47</xdr:colOff>
                <xdr:row>28</xdr:row>
                <xdr:rowOff>2</xdr:rowOff>
              </xdr:to>
            </anchor>
          </commentPr>
        </mc:Choice>
        <mc:Fallback/>
      </mc:AlternateContent>
    </comment>
    <comment ref="H22" authorId="0">
      <text>
        <r>
          <rPr>
            <sz val="8"/>
            <color rgb="FF000000"/>
            <rFont val="Tahoma"/>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11</xdr:col>
                <xdr:colOff>0</xdr:colOff>
                <xdr:row>19</xdr:row>
                <xdr:rowOff>14</xdr:rowOff>
              </xdr:from>
              <xdr:to>
                <xdr:col>13</xdr:col>
                <xdr:colOff>43</xdr:colOff>
                <xdr:row>22</xdr:row>
                <xdr:rowOff>17</xdr:rowOff>
              </xdr:to>
            </anchor>
          </commentPr>
        </mc:Choice>
        <mc:Fallback/>
      </mc:AlternateContent>
    </comment>
    <comment ref="I22" authorId="0">
      <text>
        <r>
          <rPr>
            <b val="true"/>
            <sz val="8"/>
            <color rgb="FF000000"/>
            <rFont val="Tahoma"/>
            <family val="0"/>
          </rPr>
          <t xml:space="preserve">Cote spécifique</t>
        </r>
      </text>
      <mc:AlternateContent>
        <mc:Choice Requires="v2">
          <commentPr autoFill="true" autoScale="false" colHidden="false" locked="false" rowHidden="false" textHAlign="justify" textVAlign="top">
            <anchor moveWithCells="false" sizeWithCells="false">
              <xdr:from>
                <xdr:col>10</xdr:col>
                <xdr:colOff>25</xdr:colOff>
                <xdr:row>20</xdr:row>
                <xdr:rowOff>8</xdr:rowOff>
              </xdr:from>
              <xdr:to>
                <xdr:col>13</xdr:col>
                <xdr:colOff>26</xdr:colOff>
                <xdr:row>21</xdr:row>
                <xdr:rowOff>8</xdr:rowOff>
              </xdr:to>
            </anchor>
          </commentPr>
        </mc:Choice>
        <mc:Fallback/>
      </mc:AlternateContent>
    </comment>
    <comment ref="J22" authorId="0">
      <text>
        <r>
          <rPr>
            <b val="true"/>
            <sz val="8"/>
            <color rgb="FF000000"/>
            <rFont val="Tahoma"/>
            <family val="0"/>
          </rPr>
          <t xml:space="preserve">Coefficient de sténoécie</t>
        </r>
      </text>
      <mc:AlternateContent>
        <mc:Choice Requires="v2">
          <commentPr autoFill="true" autoScale="false" colHidden="false" locked="false" rowHidden="false" textHAlign="justify" textVAlign="top">
            <anchor moveWithCells="false" sizeWithCells="false">
              <xdr:from>
                <xdr:col>11</xdr:col>
                <xdr:colOff>0</xdr:colOff>
                <xdr:row>19</xdr:row>
                <xdr:rowOff>14</xdr:rowOff>
              </xdr:from>
              <xdr:to>
                <xdr:col>12</xdr:col>
                <xdr:colOff>19</xdr:colOff>
                <xdr:row>21</xdr:row>
                <xdr:rowOff>12</xdr:rowOff>
              </xdr:to>
            </anchor>
          </commentPr>
        </mc:Choice>
        <mc:Fallback/>
      </mc:AlternateContent>
    </comment>
    <comment ref="K3" authorId="0">
      <text>
        <r>
          <rPr>
            <sz val="8"/>
            <color rgb="FF000000"/>
            <rFont val="Tahoma"/>
            <family val="0"/>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11</xdr:col>
                <xdr:colOff>16</xdr:colOff>
                <xdr:row>1</xdr:row>
                <xdr:rowOff>6</xdr:rowOff>
              </xdr:from>
              <xdr:to>
                <xdr:col>13</xdr:col>
                <xdr:colOff>17</xdr:colOff>
                <xdr:row>3</xdr:row>
                <xdr:rowOff>4</xdr:rowOff>
              </xdr:to>
            </anchor>
          </commentPr>
        </mc:Choice>
        <mc:Fallback/>
      </mc:AlternateContent>
    </comment>
    <comment ref="K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11</xdr:col>
                <xdr:colOff>9</xdr:colOff>
                <xdr:row>4</xdr:row>
                <xdr:rowOff>8</xdr:rowOff>
              </xdr:from>
              <xdr:to>
                <xdr:col>21</xdr:col>
                <xdr:colOff>0</xdr:colOff>
                <xdr:row>6</xdr:row>
                <xdr:rowOff>4</xdr:rowOff>
              </xdr:to>
            </anchor>
          </commentPr>
        </mc:Choice>
        <mc:Fallback/>
      </mc:AlternateContent>
    </comment>
    <comment ref="K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21</xdr:col>
                <xdr:colOff>16</xdr:colOff>
                <xdr:row>20</xdr:row>
                <xdr:rowOff>6</xdr:rowOff>
              </xdr:from>
              <xdr:to>
                <xdr:col>22</xdr:col>
                <xdr:colOff>90</xdr:colOff>
                <xdr:row>26</xdr:row>
                <xdr:rowOff>11</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13</xdr:col>
                <xdr:colOff>16</xdr:colOff>
                <xdr:row>1</xdr:row>
                <xdr:rowOff>6</xdr:rowOff>
              </xdr:from>
              <xdr:to>
                <xdr:col>21</xdr:col>
                <xdr:colOff>0</xdr:colOff>
                <xdr:row>2</xdr:row>
                <xdr:rowOff>7</xdr:rowOff>
              </xdr:to>
            </anchor>
          </commentPr>
        </mc:Choice>
        <mc:Fallback/>
      </mc:AlternateContent>
    </comment>
    <comment ref="N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14</xdr:col>
                <xdr:colOff>0</xdr:colOff>
                <xdr:row>1</xdr:row>
                <xdr:rowOff>15</xdr:rowOff>
              </xdr:from>
              <xdr:to>
                <xdr:col>21</xdr:col>
                <xdr:colOff>0</xdr:colOff>
                <xdr:row>5</xdr:row>
                <xdr:rowOff>11</xdr:rowOff>
              </xdr:to>
            </anchor>
          </commentPr>
        </mc:Choice>
        <mc:Fallback/>
      </mc:AlternateContent>
    </comment>
    <comment ref="V1" authorId="0">
      <text>
        <r>
          <rPr>
            <sz val="8"/>
            <color rgb="FF000000"/>
            <rFont val="Tahoma"/>
            <family val="2"/>
          </rPr>
          <t xml:space="preserve">Crée une nouvelle feuille de saisie-calcul dans le même classeur. Ne pas oublier de </t>
        </r>
        <r>
          <rPr>
            <b val="true"/>
            <sz val="8"/>
            <color rgb="FF000000"/>
            <rFont val="Tahoma"/>
            <family val="2"/>
          </rPr>
          <t xml:space="preserve">la renommer dès sa création</t>
        </r>
        <r>
          <rPr>
            <sz val="8"/>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22</xdr:col>
                <xdr:colOff>0</xdr:colOff>
                <xdr:row>0</xdr:row>
                <xdr:rowOff>2</xdr:rowOff>
              </xdr:from>
              <xdr:to>
                <xdr:col>25</xdr:col>
                <xdr:colOff>0</xdr:colOff>
                <xdr:row>3</xdr:row>
                <xdr:rowOff>11</xdr:rowOff>
              </xdr:to>
            </anchor>
          </commentPr>
        </mc:Choice>
        <mc:Fallback/>
      </mc:AlternateContent>
    </comment>
    <comment ref="V2" authorId="0">
      <text>
        <r>
          <rPr>
            <b val="true"/>
            <sz val="8"/>
            <color rgb="FF000000"/>
            <rFont val="Tahoma"/>
            <family val="2"/>
          </rPr>
          <t xml:space="preserve">Récapitulatif :
</t>
        </r>
        <r>
          <rPr>
            <sz val="8"/>
            <color rgb="FF000000"/>
            <rFont val="Tahoma"/>
            <family val="2"/>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22</xdr:col>
                <xdr:colOff>0</xdr:colOff>
                <xdr:row>0</xdr:row>
                <xdr:rowOff>7</xdr:rowOff>
              </xdr:from>
              <xdr:to>
                <xdr:col>25</xdr:col>
                <xdr:colOff>0</xdr:colOff>
                <xdr:row>4</xdr:row>
                <xdr:rowOff>1</xdr:rowOff>
              </xdr:to>
            </anchor>
          </commentPr>
        </mc:Choice>
        <mc:Fallback/>
      </mc:AlternateContent>
    </comment>
    <comment ref="V4" authorId="0">
      <text>
        <r>
          <rPr>
            <sz val="8"/>
            <color rgb="FF000000"/>
            <rFont val="Tahoma"/>
            <family val="2"/>
          </rPr>
          <t xml:space="preserve"> </t>
        </r>
        <r>
          <rPr>
            <b val="true"/>
            <sz val="8"/>
            <color rgb="FF000000"/>
            <rFont val="Tahoma"/>
            <family val="2"/>
          </rPr>
          <t xml:space="preserve">ARCHIVAGE des données : 
</t>
        </r>
        <r>
          <rPr>
            <sz val="8"/>
            <color rgb="FF000000"/>
            <rFont val="Tahoma"/>
            <family val="2"/>
          </rPr>
          <t xml:space="preserve">Cette fonction crée un nouveau classeur d'archivage de la feuille active.
</t>
        </r>
        <r>
          <rPr>
            <sz val="8"/>
            <color rgb="FFFF0000"/>
            <rFont val="Tahoma"/>
            <family val="2"/>
          </rPr>
          <t xml:space="preserve">Attention !</t>
        </r>
        <r>
          <rPr>
            <i val="true"/>
            <sz val="8"/>
            <color rgb="FF000000"/>
            <rFont val="Tahoma"/>
            <family val="2"/>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22</xdr:col>
                <xdr:colOff>0</xdr:colOff>
                <xdr:row>1</xdr:row>
                <xdr:rowOff>6</xdr:rowOff>
              </xdr:from>
              <xdr:to>
                <xdr:col>25</xdr:col>
                <xdr:colOff>0</xdr:colOff>
                <xdr:row>7</xdr:row>
                <xdr:rowOff>8</xdr:rowOff>
              </xdr:to>
            </anchor>
          </commentPr>
        </mc:Choice>
        <mc:Fallback/>
      </mc:AlternateContent>
    </comment>
    <comment ref="V6" authorId="0">
      <text>
        <r>
          <rPr>
            <b val="true"/>
            <sz val="8"/>
            <color rgb="FF000000"/>
            <rFont val="Tahoma"/>
            <family val="2"/>
          </rPr>
          <t xml:space="preserve">Affichage</t>
        </r>
        <r>
          <rPr>
            <sz val="8"/>
            <color rgb="FF000000"/>
            <rFont val="Tahoma"/>
            <family val="2"/>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22</xdr:col>
                <xdr:colOff>0</xdr:colOff>
                <xdr:row>4</xdr:row>
                <xdr:rowOff>8</xdr:rowOff>
              </xdr:from>
              <xdr:to>
                <xdr:col>25</xdr:col>
                <xdr:colOff>0</xdr:colOff>
                <xdr:row>7</xdr:row>
                <xdr:rowOff>17</xdr:rowOff>
              </xdr:to>
            </anchor>
          </commentPr>
        </mc:Choice>
        <mc:Fallback/>
      </mc:AlternateContent>
    </comment>
    <comment ref="W5" authorId="0">
      <text>
        <r>
          <rPr>
            <b val="true"/>
            <sz val="8"/>
            <color rgb="FF000000"/>
            <rFont val="Tahoma"/>
            <family val="2"/>
          </rPr>
          <t xml:space="preserve">Classement des taxons :
</t>
        </r>
        <r>
          <rPr>
            <sz val="8"/>
            <color rgb="FF000000"/>
            <rFont val="Tahoma"/>
            <family val="2"/>
          </rPr>
          <t xml:space="preserve">-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25</xdr:col>
                <xdr:colOff>20</xdr:colOff>
                <xdr:row>1</xdr:row>
                <xdr:rowOff>11</xdr:rowOff>
              </xdr:from>
              <xdr:to>
                <xdr:col>29</xdr:col>
                <xdr:colOff>34</xdr:colOff>
                <xdr:row>7</xdr:row>
                <xdr:rowOff>1</xdr:rowOff>
              </xdr:to>
            </anchor>
          </commentPr>
        </mc:Choice>
        <mc:Fallback/>
      </mc:AlternateContent>
    </comment>
    <comment ref="Z22" authorId="0">
      <text>
        <r>
          <rPr>
            <sz val="8"/>
            <color rgb="FF000000"/>
            <rFont val="Tahoma"/>
            <family val="0"/>
          </rPr>
          <t xml:space="preserve">Sélectionner Cf. si le taxon observé fait seulement référence à celui choisi.
</t>
        </r>
      </text>
      <mc:AlternateContent>
        <mc:Choice Requires="v2">
          <commentPr autoFill="true" autoScale="false" colHidden="false" locked="false" rowHidden="false" textHAlign="justify" textVAlign="top">
            <anchor moveWithCells="false" sizeWithCells="false">
              <xdr:from>
                <xdr:col>26</xdr:col>
                <xdr:colOff>16</xdr:colOff>
                <xdr:row>20</xdr:row>
                <xdr:rowOff>6</xdr:rowOff>
              </xdr:from>
              <xdr:to>
                <xdr:col>27</xdr:col>
                <xdr:colOff>-95</xdr:colOff>
                <xdr:row>23</xdr:row>
                <xdr:rowOff>9</xdr:rowOff>
              </xdr:to>
            </anchor>
          </commentPr>
        </mc:Choice>
        <mc:Fallback/>
      </mc:AlternateContent>
    </comment>
    <comment ref="AA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26</xdr:col>
                <xdr:colOff>173</xdr:colOff>
                <xdr:row>14</xdr:row>
                <xdr:rowOff>1</xdr:rowOff>
              </xdr:from>
              <xdr:to>
                <xdr:col>28</xdr:col>
                <xdr:colOff>51</xdr:colOff>
                <xdr:row>17</xdr:row>
                <xdr:rowOff>11</xdr:rowOff>
              </xdr:to>
            </anchor>
          </commentPr>
        </mc:Choice>
        <mc:Fallback/>
      </mc:AlternateContent>
    </comment>
  </commentList>
</comments>
</file>

<file path=xl/sharedStrings.xml><?xml version="1.0" encoding="utf-8"?>
<sst xmlns="http://schemas.openxmlformats.org/spreadsheetml/2006/main" count="112" uniqueCount="107">
  <si>
    <t xml:space="preserve">Relevés floristiques aquatiques - IBMR</t>
  </si>
  <si>
    <t xml:space="preserve">GIS Macrophytes - juillet 2006</t>
  </si>
  <si>
    <t xml:space="preserve">AQUASCOP</t>
  </si>
  <si>
    <t xml:space="preserve">V. BOUCHAREYCHAS / A. ROBE</t>
  </si>
  <si>
    <t xml:space="preserve">conforme AFNOR T90-395 oct. 2003</t>
  </si>
  <si>
    <t xml:space="preserve">TRUYERE</t>
  </si>
  <si>
    <t xml:space="preserve">RIMEIZE</t>
  </si>
  <si>
    <t xml:space="preserve">05097860</t>
  </si>
  <si>
    <t xml:space="preserve">RCS LR 2010</t>
  </si>
  <si>
    <t xml:space="preserve">Résultats</t>
  </si>
  <si>
    <t xml:space="preserve">Robustesse:</t>
  </si>
  <si>
    <t xml:space="preserve">F. courant</t>
  </si>
  <si>
    <t xml:space="preserve">F. lent</t>
  </si>
  <si>
    <t xml:space="preserve">station</t>
  </si>
  <si>
    <t xml:space="preserve">IBMR:</t>
  </si>
  <si>
    <t xml:space="preserve">LEA.SPX</t>
  </si>
  <si>
    <t xml:space="preserve">Type de faciès</t>
  </si>
  <si>
    <t xml:space="preserve">radier</t>
  </si>
  <si>
    <t xml:space="preserve">pl. lent</t>
  </si>
  <si>
    <t xml:space="preserve">niv. trophique:</t>
  </si>
  <si>
    <t xml:space="preserve">moyen</t>
  </si>
  <si>
    <t xml:space="preserve">(moyen)</t>
  </si>
  <si>
    <t xml:space="preserve">% faciès / station</t>
  </si>
  <si>
    <t xml:space="preserve">cote sp.</t>
  </si>
  <si>
    <t xml:space="preserve">coef stén.</t>
  </si>
  <si>
    <t xml:space="preserve">VEGETALISATION</t>
  </si>
  <si>
    <t xml:space="preserve">tot. pondéré</t>
  </si>
  <si>
    <t xml:space="preserve">moyenne</t>
  </si>
  <si>
    <t xml:space="preserve">% surf. vég.Totale</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</si>
  <si>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</si>
  <si>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</si>
  <si>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</si>
  <si>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</si>
  <si>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</si>
  <si>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</si>
  <si>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</si>
  <si>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</si>
  <si>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</si>
  <si>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</si>
  <si>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</si>
  <si>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</si>
  <si>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</si>
  <si>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</si>
  <si>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</si>
  <si>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</si>
  <si>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</si>
  <si>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</si>
  <si>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</si>
  <si>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</si>
  <si>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</si>
  <si>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</si>
  <si>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</si>
  <si>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t xml:space="preserve">Cal. Écart</t>
  </si>
  <si>
    <r>
      <rPr>
        <b val="true"/>
        <sz val="10"/>
        <rFont val="Arial"/>
        <family val="2"/>
      </rPr>
      <t xml:space="preserve">LISTE     </t>
    </r>
    <r>
      <rPr>
        <i val="true"/>
        <sz val="10"/>
        <rFont val="Arial"/>
        <family val="2"/>
      </rPr>
      <t xml:space="preserve">rec / faciès</t>
    </r>
  </si>
  <si>
    <t xml:space="preserve">Détail du calcul IBMR (non imprimable, non exporté)</t>
  </si>
  <si>
    <t xml:space="preserve">rec. pondéré</t>
  </si>
  <si>
    <t xml:space="preserve">voir aussi colonne BB</t>
  </si>
  <si>
    <t xml:space="preserve">CODES</t>
  </si>
  <si>
    <t xml:space="preserve">%</t>
  </si>
  <si>
    <t xml:space="preserve">% sta.</t>
  </si>
  <si>
    <t xml:space="preserve">grp</t>
  </si>
  <si>
    <t xml:space="preserve">Csi</t>
  </si>
  <si>
    <t xml:space="preserve">Ei</t>
  </si>
  <si>
    <t xml:space="preserve">    noms</t>
  </si>
  <si>
    <t xml:space="preserve">r. station</t>
  </si>
  <si>
    <t xml:space="preserve">cl. rec.</t>
  </si>
  <si>
    <t xml:space="preserve">KixCsi</t>
  </si>
  <si>
    <t xml:space="preserve">Ei x Ki x Csi</t>
  </si>
  <si>
    <t xml:space="preserve">Ei x Ki</t>
  </si>
  <si>
    <t xml:space="preserve">vérif rec</t>
  </si>
  <si>
    <t xml:space="preserve">code taxa</t>
  </si>
  <si>
    <t xml:space="preserve">index ligne</t>
  </si>
  <si>
    <t xml:space="preserve">Confer</t>
  </si>
  <si>
    <t xml:space="preserve">Nouveaux taxa hors liste de référence</t>
  </si>
  <si>
    <t xml:space="preserve">AUD.SPX</t>
  </si>
  <si>
    <t xml:space="preserve">MEL.SPX</t>
  </si>
  <si>
    <t xml:space="preserve">OED.SPX</t>
  </si>
  <si>
    <t xml:space="preserve">PHO.SPX</t>
  </si>
  <si>
    <t xml:space="preserve">TET.SPX</t>
  </si>
  <si>
    <t xml:space="preserve">AMB.FLU</t>
  </si>
  <si>
    <t xml:space="preserve">AMB.RIP</t>
  </si>
  <si>
    <t xml:space="preserve">FIS.CRA</t>
  </si>
  <si>
    <t xml:space="preserve">RHY.RIP</t>
  </si>
  <si>
    <t xml:space="preserve">LEM.MIN</t>
  </si>
  <si>
    <t xml:space="preserve">RAN.PEL</t>
  </si>
  <si>
    <t xml:space="preserve">SPA.EML</t>
  </si>
  <si>
    <t xml:space="preserve">CAR.ACU</t>
  </si>
  <si>
    <t xml:space="preserve">ELE.PAL</t>
  </si>
  <si>
    <t xml:space="preserve">GLY.FLU</t>
  </si>
  <si>
    <t xml:space="preserve">IRI.PSE</t>
  </si>
  <si>
    <t xml:space="preserve">LYS.VUL</t>
  </si>
  <si>
    <t xml:space="preserve">MEN.SPX</t>
  </si>
  <si>
    <t xml:space="preserve">PHA.ARU</t>
  </si>
  <si>
    <t xml:space="preserve">SPA.ERE</t>
  </si>
  <si>
    <t xml:space="preserve">VER.ANA</t>
  </si>
  <si>
    <t xml:space="preserve">SOA.DUL</t>
  </si>
  <si>
    <t xml:space="preserve">ROR.PAL</t>
  </si>
  <si>
    <t xml:space="preserve">Cf.</t>
  </si>
  <si>
    <t xml:space="preserve">Ligne de préparation à l'exportation du récapitulatif des résultats. Non imprimable</t>
  </si>
  <si>
    <t xml:space="preserve">ROBUSTESSE</t>
  </si>
  <si>
    <t xml:space="preserve">rech. Max KixCsi</t>
  </si>
  <si>
    <t xml:space="preserve">rech. max EixKixCSi</t>
  </si>
  <si>
    <t xml:space="preserve">rech. max EixKi</t>
  </si>
  <si>
    <t xml:space="preserve">new IBMR</t>
  </si>
  <si>
    <t xml:space="preserve">code taxon à supp.</t>
  </si>
  <si>
    <t xml:space="preserve">index ligne corresp.</t>
  </si>
  <si>
    <t xml:space="preserve">taxon supp.</t>
  </si>
</sst>
</file>

<file path=xl/styles.xml><?xml version="1.0" encoding="utf-8"?>
<styleSheet xmlns="http://schemas.openxmlformats.org/spreadsheetml/2006/main">
  <numFmts count="9">
    <numFmt numFmtId="164" formatCode="General"/>
    <numFmt numFmtId="165" formatCode="@"/>
    <numFmt numFmtId="166" formatCode="[$-40C]dd\-mmm\-yy"/>
    <numFmt numFmtId="167" formatCode="0.00"/>
    <numFmt numFmtId="168" formatCode="General"/>
    <numFmt numFmtId="169" formatCode="_-* #,##0.00\ _F_-;\-* #,##0.00\ _F_-;_-* \-??\ _F_-;_-@_-"/>
    <numFmt numFmtId="170" formatCode="0.0"/>
    <numFmt numFmtId="171" formatCode="_-* #,##0\ _F_-;\-* #,##0\ _F_-;_-* &quot;- &quot;_F_-;_-@_-"/>
    <numFmt numFmtId="172" formatCode="0"/>
  </numFmts>
  <fonts count="39">
    <font>
      <sz val="10"/>
      <name val="Arial"/>
      <family val="0"/>
    </font>
    <font>
      <sz val="10"/>
      <name val="Arial"/>
      <family val="0"/>
    </font>
    <font>
      <sz val="10"/>
      <name val="Arial"/>
      <family val="0"/>
    </font>
    <font>
      <sz val="10"/>
      <name val="Arial"/>
      <family val="0"/>
    </font>
    <font>
      <b val="true"/>
      <i val="true"/>
      <sz val="11"/>
      <color rgb="FFFFFFFF"/>
      <name val="Arial"/>
      <family val="2"/>
    </font>
    <font>
      <b val="true"/>
      <sz val="11"/>
      <color rgb="FFFFFFFF"/>
      <name val="Arial"/>
      <family val="2"/>
    </font>
    <font>
      <i val="true"/>
      <sz val="8"/>
      <color rgb="FFFFFFFF"/>
      <name val="Arial"/>
      <family val="2"/>
    </font>
    <font>
      <sz val="8"/>
      <color rgb="FF0000FF"/>
      <name val="Arial"/>
      <family val="2"/>
    </font>
    <font>
      <b val="true"/>
      <sz val="10"/>
      <name val="Arial"/>
      <family val="2"/>
    </font>
    <font>
      <i val="true"/>
      <sz val="8"/>
      <name val="Arial"/>
      <family val="2"/>
    </font>
    <font>
      <b val="true"/>
      <sz val="8"/>
      <name val="Arial"/>
      <family val="2"/>
    </font>
    <font>
      <b val="true"/>
      <i val="true"/>
      <sz val="10"/>
      <color rgb="FF808080"/>
      <name val="Arial"/>
      <family val="2"/>
    </font>
    <font>
      <b val="true"/>
      <i val="true"/>
      <sz val="10"/>
      <name val="Arial"/>
      <family val="2"/>
    </font>
    <font>
      <sz val="10"/>
      <name val="Arial"/>
      <family val="2"/>
    </font>
    <font>
      <b val="true"/>
      <i val="true"/>
      <sz val="11"/>
      <name val="Arial"/>
      <family val="2"/>
    </font>
    <font>
      <b val="true"/>
      <sz val="11"/>
      <name val="Arial"/>
      <family val="2"/>
    </font>
    <font>
      <i val="true"/>
      <sz val="10"/>
      <name val="Arial"/>
      <family val="2"/>
    </font>
    <font>
      <b val="true"/>
      <sz val="10"/>
      <color rgb="FF000000"/>
      <name val="Arial"/>
      <family val="2"/>
    </font>
    <font>
      <b val="true"/>
      <i val="true"/>
      <sz val="10"/>
      <color rgb="FF000000"/>
      <name val="Arial"/>
      <family val="2"/>
    </font>
    <font>
      <b val="true"/>
      <i val="true"/>
      <sz val="12"/>
      <color rgb="FFFFFFFF"/>
      <name val="Arial"/>
      <family val="2"/>
    </font>
    <font>
      <b val="true"/>
      <sz val="9"/>
      <name val="Arial"/>
      <family val="2"/>
    </font>
    <font>
      <b val="true"/>
      <i val="true"/>
      <sz val="9"/>
      <name val="Arial"/>
      <family val="2"/>
    </font>
    <font>
      <i val="true"/>
      <sz val="9"/>
      <name val="Arial"/>
      <family val="2"/>
    </font>
    <font>
      <sz val="9"/>
      <name val="Arial"/>
      <family val="2"/>
    </font>
    <font>
      <i val="true"/>
      <sz val="10"/>
      <color rgb="FF000000"/>
      <name val="Arial"/>
      <family val="2"/>
    </font>
    <font>
      <sz val="8"/>
      <name val="Arial"/>
      <family val="2"/>
    </font>
    <font>
      <b val="true"/>
      <i val="true"/>
      <sz val="10"/>
      <color rgb="FFFF0000"/>
      <name val="Arial"/>
      <family val="2"/>
    </font>
    <font>
      <sz val="10"/>
      <color rgb="FFFF0000"/>
      <name val="Arial"/>
      <family val="2"/>
    </font>
    <font>
      <sz val="10"/>
      <color rgb="FF000000"/>
      <name val="Arial"/>
      <family val="2"/>
    </font>
    <font>
      <b val="true"/>
      <sz val="10"/>
      <color rgb="FFFF0000"/>
      <name val="Arial"/>
      <family val="2"/>
    </font>
    <font>
      <sz val="7"/>
      <name val="Arial"/>
      <family val="2"/>
    </font>
    <font>
      <sz val="8"/>
      <color rgb="FF000000"/>
      <name val="Tahoma"/>
      <family val="2"/>
    </font>
    <font>
      <b val="true"/>
      <sz val="8"/>
      <color rgb="FF000000"/>
      <name val="Tahoma"/>
      <family val="0"/>
    </font>
    <font>
      <i val="true"/>
      <sz val="8"/>
      <color rgb="FF000000"/>
      <name val="Tahoma"/>
      <family val="2"/>
    </font>
    <font>
      <sz val="8"/>
      <color rgb="FF000000"/>
      <name val="Tahoma"/>
      <family val="0"/>
    </font>
    <font>
      <b val="true"/>
      <sz val="8"/>
      <color rgb="FF808080"/>
      <name val="Tahoma"/>
      <family val="2"/>
    </font>
    <font>
      <b val="true"/>
      <sz val="8"/>
      <color rgb="FF339966"/>
      <name val="Tahoma"/>
      <family val="2"/>
    </font>
    <font>
      <b val="true"/>
      <sz val="8"/>
      <color rgb="FF000000"/>
      <name val="Tahoma"/>
      <family val="2"/>
    </font>
    <font>
      <sz val="8"/>
      <color rgb="FFFF0000"/>
      <name val="Tahoma"/>
      <family val="2"/>
    </font>
  </fonts>
  <fills count="10">
    <fill>
      <patternFill patternType="none"/>
    </fill>
    <fill>
      <patternFill patternType="gray125"/>
    </fill>
    <fill>
      <patternFill patternType="solid">
        <fgColor rgb="FF0000FF"/>
        <bgColor rgb="FF0000FF"/>
      </patternFill>
    </fill>
    <fill>
      <patternFill patternType="solid">
        <fgColor rgb="FFFF0000"/>
        <bgColor rgb="FF993300"/>
      </patternFill>
    </fill>
    <fill>
      <patternFill patternType="solid">
        <fgColor rgb="FFFF9900"/>
        <bgColor rgb="FFFFCC00"/>
      </patternFill>
    </fill>
    <fill>
      <patternFill patternType="solid">
        <fgColor rgb="FFCCFFFF"/>
        <bgColor rgb="FFCCFFFF"/>
      </patternFill>
    </fill>
    <fill>
      <patternFill patternType="solid">
        <fgColor rgb="FFC0C0C0"/>
        <bgColor rgb="FFCCCCFF"/>
      </patternFill>
    </fill>
    <fill>
      <patternFill patternType="solid">
        <fgColor rgb="FFCCFFCC"/>
        <bgColor rgb="FFCCFFFF"/>
      </patternFill>
    </fill>
    <fill>
      <patternFill patternType="solid">
        <fgColor rgb="FFFFFF99"/>
        <bgColor rgb="FFFFFFCC"/>
      </patternFill>
    </fill>
    <fill>
      <patternFill patternType="solid">
        <fgColor rgb="FFFFFF00"/>
        <bgColor rgb="FFFFFF00"/>
      </patternFill>
    </fill>
  </fills>
  <borders count="75">
    <border diagonalUp="false" diagonalDown="false">
      <left/>
      <right/>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ck">
        <color rgb="FFC0C0C0"/>
      </left>
      <right/>
      <top style="thick">
        <color rgb="FFC0C0C0"/>
      </top>
      <bottom/>
      <diagonal/>
    </border>
    <border diagonalUp="false" diagonalDown="false">
      <left/>
      <right style="thick">
        <color rgb="FFC0C0C0"/>
      </right>
      <top style="thick">
        <color rgb="FFC0C0C0"/>
      </top>
      <bottom/>
      <diagonal/>
    </border>
    <border diagonalUp="false" diagonalDown="false">
      <left style="thick">
        <color rgb="FFC0C0C0"/>
      </left>
      <right/>
      <top/>
      <bottom/>
      <diagonal/>
    </border>
    <border diagonalUp="false" diagonalDown="false">
      <left/>
      <right style="thick">
        <color rgb="FFC0C0C0"/>
      </right>
      <top/>
      <bottom/>
      <diagonal/>
    </border>
    <border diagonalUp="false" diagonalDown="false">
      <left/>
      <right/>
      <top style="thin"/>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right style="thin"/>
      <top style="thin"/>
      <bottom style="medium">
        <color rgb="FFFF0000"/>
      </bottom>
      <diagonal/>
    </border>
    <border diagonalUp="false" diagonalDown="false">
      <left style="thin"/>
      <right style="thin"/>
      <top style="thin"/>
      <bottom style="thin"/>
      <diagonal/>
    </border>
    <border diagonalUp="false" diagonalDown="false">
      <left/>
      <right/>
      <top/>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right style="medium">
        <color rgb="FFFF0000"/>
      </right>
      <top style="medium">
        <color rgb="FFFF0000"/>
      </top>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thin"/>
      <right style="thin"/>
      <top/>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right style="medium">
        <color rgb="FFFF0000"/>
      </right>
      <top style="medium">
        <color rgb="FFFF0000"/>
      </top>
      <bottom style="thin">
        <color rgb="FFFF0000"/>
      </bottom>
      <diagonal/>
    </border>
    <border diagonalUp="false" diagonalDown="false">
      <left/>
      <right style="thin"/>
      <top/>
      <bottom style="thin"/>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style="medium">
        <color rgb="FFFF0000"/>
      </right>
      <top style="thin">
        <color rgb="FFFF0000"/>
      </top>
      <bottom style="medium">
        <color rgb="FFFF0000"/>
      </bottom>
      <diagonal/>
    </border>
    <border diagonalUp="false" diagonalDown="false">
      <left style="medium">
        <color rgb="FFFF0000"/>
      </left>
      <right/>
      <top/>
      <bottom/>
      <diagonal/>
    </border>
    <border diagonalUp="false" diagonalDown="false">
      <left style="thin"/>
      <right/>
      <top/>
      <bottom style="thin"/>
      <diagonal/>
    </border>
    <border diagonalUp="false" diagonalDown="false">
      <left/>
      <right style="medium">
        <color rgb="FFFF0000"/>
      </right>
      <top/>
      <bottom style="thin"/>
      <diagonal/>
    </border>
    <border diagonalUp="false" diagonalDown="false">
      <left style="thin"/>
      <right/>
      <top/>
      <bottom/>
      <diagonal/>
    </border>
    <border diagonalUp="false" diagonalDown="false">
      <left/>
      <right style="medium">
        <color rgb="FFFF0000"/>
      </right>
      <top/>
      <bottom/>
      <diagonal/>
    </border>
    <border diagonalUp="false" diagonalDown="false">
      <left/>
      <right style="thin"/>
      <top/>
      <bottom/>
      <diagonal/>
    </border>
    <border diagonalUp="false" diagonalDown="false">
      <left style="thick">
        <color rgb="FFC0C0C0"/>
      </left>
      <right/>
      <top/>
      <bottom style="thick">
        <color rgb="FFC0C0C0"/>
      </bottom>
      <diagonal/>
    </border>
    <border diagonalUp="false" diagonalDown="false">
      <left/>
      <right style="thick">
        <color rgb="FFC0C0C0"/>
      </right>
      <top/>
      <bottom style="thick">
        <color rgb="FFC0C0C0"/>
      </bottom>
      <diagonal/>
    </border>
    <border diagonalUp="false" diagonalDown="false">
      <left style="medium">
        <color rgb="FFFF0000"/>
      </left>
      <right/>
      <top style="thin"/>
      <bottom style="thin"/>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medium">
        <color rgb="FFFF0000"/>
      </left>
      <right/>
      <top style="thin"/>
      <bottom/>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right style="medium">
        <color rgb="FFFF0000"/>
      </right>
      <top style="thin"/>
      <bottom style="thin"/>
      <diagonal/>
    </border>
    <border diagonalUp="false" diagonalDown="false">
      <left style="thin"/>
      <right/>
      <top style="thin"/>
      <bottom/>
      <diagonal/>
    </border>
    <border diagonalUp="false" diagonalDown="false">
      <left/>
      <right style="medium">
        <color rgb="FFFF0000"/>
      </right>
      <top style="thin"/>
      <bottom/>
      <diagonal/>
    </border>
    <border diagonalUp="false" diagonalDown="false">
      <left style="thin"/>
      <right/>
      <top/>
      <bottom style="hair"/>
      <diagonal/>
    </border>
    <border diagonalUp="false" diagonalDown="false">
      <left/>
      <right/>
      <top/>
      <bottom style="hair"/>
      <diagonal/>
    </border>
    <border diagonalUp="false" diagonalDown="false">
      <left/>
      <right style="medium">
        <color rgb="FFFF0000"/>
      </right>
      <top/>
      <bottom style="hair"/>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thin"/>
      <right style="thin"/>
      <top style="hair"/>
      <bottom style="thin"/>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medium">
        <color rgb="FFFF0000"/>
      </right>
      <top/>
      <bottom style="medium">
        <color rgb="FFFF0000"/>
      </bottom>
      <diagonal/>
    </border>
    <border diagonalUp="false" diagonalDown="false">
      <left/>
      <right style="thin"/>
      <top style="medium">
        <color rgb="FFFF0000"/>
      </top>
      <bottom/>
      <diagonal/>
    </border>
    <border diagonalUp="false" diagonalDown="false">
      <left/>
      <right style="thin"/>
      <top style="thin"/>
      <bottom style="hair"/>
      <diagonal/>
    </border>
    <border diagonalUp="false" diagonalDown="false">
      <left/>
      <right style="thin"/>
      <top style="thin"/>
      <bottom/>
      <diagonal/>
    </border>
    <border diagonalUp="false" diagonalDown="false">
      <left style="thin"/>
      <right style="medium"/>
      <top/>
      <bottom style="hair"/>
      <diagonal/>
    </border>
    <border diagonalUp="false" diagonalDown="false">
      <left style="thin"/>
      <right/>
      <top style="thin"/>
      <bottom style="hair"/>
      <diagonal/>
    </border>
    <border diagonalUp="false" diagonalDown="false">
      <left/>
      <right/>
      <top style="thin"/>
      <bottom style="hair"/>
      <diagonal/>
    </border>
    <border diagonalUp="false" diagonalDown="false">
      <left/>
      <right style="thin"/>
      <top style="hair"/>
      <bottom style="hair"/>
      <diagonal/>
    </border>
    <border diagonalUp="false" diagonalDown="false">
      <left style="thin"/>
      <right/>
      <top style="hair"/>
      <bottom style="hair"/>
      <diagonal/>
    </border>
    <border diagonalUp="false" diagonalDown="false">
      <left/>
      <right/>
      <top style="hair"/>
      <bottom style="hair"/>
      <diagonal/>
    </border>
    <border diagonalUp="false" diagonalDown="false">
      <left/>
      <right style="thin"/>
      <top style="hair"/>
      <bottom style="thin"/>
      <diagonal/>
    </border>
    <border diagonalUp="false" diagonalDown="false">
      <left style="thin"/>
      <right/>
      <top style="hair"/>
      <bottom style="thin"/>
      <diagonal/>
    </border>
    <border diagonalUp="false" diagonalDown="false">
      <left/>
      <right/>
      <top style="hair"/>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258">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4" fillId="2" borderId="1" xfId="0" applyFont="true" applyBorder="true" applyAlignment="true" applyProtection="true">
      <alignment horizontal="left" vertical="bottom" textRotation="0" wrapText="false" indent="0" shrinkToFit="false"/>
      <protection locked="true" hidden="true"/>
    </xf>
    <xf numFmtId="164" fontId="4" fillId="2" borderId="2" xfId="0" applyFont="true" applyBorder="true" applyAlignment="true" applyProtection="true">
      <alignment horizontal="center" vertical="bottom" textRotation="0" wrapText="false" indent="0" shrinkToFit="false"/>
      <protection locked="true" hidden="true"/>
    </xf>
    <xf numFmtId="164" fontId="4" fillId="3" borderId="2" xfId="0" applyFont="true" applyBorder="true" applyAlignment="true" applyProtection="true">
      <alignment horizontal="center" vertical="bottom" textRotation="0" wrapText="false" indent="0" shrinkToFit="false"/>
      <protection locked="true" hidden="true"/>
    </xf>
    <xf numFmtId="164" fontId="5" fillId="2" borderId="2" xfId="0" applyFont="true" applyBorder="true" applyAlignment="true" applyProtection="true">
      <alignment horizontal="left" vertical="bottom" textRotation="0" wrapText="false" indent="0" shrinkToFit="false"/>
      <protection locked="true" hidden="true"/>
    </xf>
    <xf numFmtId="164" fontId="4" fillId="0" borderId="2" xfId="0" applyFont="true" applyBorder="true" applyAlignment="true" applyProtection="true">
      <alignment horizontal="center" vertical="bottom" textRotation="0" wrapText="false" indent="0" shrinkToFit="false"/>
      <protection locked="false" hidden="false"/>
    </xf>
    <xf numFmtId="164" fontId="6" fillId="2" borderId="3" xfId="0" applyFont="true" applyBorder="true" applyAlignment="true" applyProtection="true">
      <alignment horizontal="right" vertical="bottom" textRotation="0" wrapText="false" indent="0" shrinkToFit="false"/>
      <protection locked="true" hidden="true"/>
    </xf>
    <xf numFmtId="164" fontId="0" fillId="3" borderId="0" xfId="0" applyFont="false" applyBorder="false" applyAlignment="false" applyProtection="true">
      <alignment horizontal="general" vertical="bottom" textRotation="0" wrapText="false" indent="0" shrinkToFit="false"/>
      <protection locked="true" hidden="true"/>
    </xf>
    <xf numFmtId="164" fontId="0" fillId="4" borderId="4" xfId="0" applyFont="false" applyBorder="true" applyAlignment="false" applyProtection="true">
      <alignment horizontal="general" vertical="bottom" textRotation="0" wrapText="false" indent="0" shrinkToFit="false"/>
      <protection locked="true" hidden="true"/>
    </xf>
    <xf numFmtId="164" fontId="7" fillId="4" borderId="5" xfId="0" applyFont="true" applyBorder="true" applyAlignment="true" applyProtection="true">
      <alignment horizontal="center" vertical="center" textRotation="0" wrapText="false" indent="0" shrinkToFit="false"/>
      <protection locked="true" hidden="true"/>
    </xf>
    <xf numFmtId="164" fontId="8" fillId="5" borderId="1" xfId="0" applyFont="true" applyBorder="true" applyAlignment="true" applyProtection="true">
      <alignment horizontal="left" vertical="bottom" textRotation="0" wrapText="false" indent="0" shrinkToFit="false"/>
      <protection locked="false" hidden="false"/>
    </xf>
    <xf numFmtId="164" fontId="8" fillId="5" borderId="3" xfId="0" applyFont="true" applyBorder="true" applyAlignment="true" applyProtection="true">
      <alignment horizontal="left" vertical="bottom" textRotation="0" wrapText="false" indent="0" shrinkToFit="false"/>
      <protection locked="true" hidden="false"/>
    </xf>
    <xf numFmtId="164" fontId="8" fillId="5" borderId="2" xfId="0" applyFont="true" applyBorder="true" applyAlignment="true" applyProtection="true">
      <alignment horizontal="left" vertical="bottom" textRotation="0" wrapText="false" indent="0" shrinkToFit="false"/>
      <protection locked="false" hidden="false"/>
    </xf>
    <xf numFmtId="164" fontId="9" fillId="3" borderId="2" xfId="0" applyFont="true" applyBorder="true" applyAlignment="true" applyProtection="true">
      <alignment horizontal="left" vertical="bottom" textRotation="0" wrapText="false" indent="0" shrinkToFit="false"/>
      <protection locked="false" hidden="false"/>
    </xf>
    <xf numFmtId="164" fontId="10" fillId="5" borderId="2" xfId="0" applyFont="true" applyBorder="true" applyAlignment="true" applyProtection="true">
      <alignment horizontal="left" vertical="bottom" textRotation="0" wrapText="false" indent="0" shrinkToFit="false"/>
      <protection locked="true" hidden="false"/>
    </xf>
    <xf numFmtId="164" fontId="9" fillId="5" borderId="2" xfId="0" applyFont="true" applyBorder="true" applyAlignment="true" applyProtection="true">
      <alignment horizontal="left" vertical="bottom" textRotation="0" wrapText="false" indent="0" shrinkToFit="false"/>
      <protection locked="true" hidden="false"/>
    </xf>
    <xf numFmtId="164" fontId="8" fillId="5" borderId="2" xfId="0" applyFont="true" applyBorder="true" applyAlignment="true" applyProtection="true">
      <alignment horizontal="left" vertical="bottom" textRotation="0" wrapText="false" indent="0" shrinkToFit="false"/>
      <protection locked="true" hidden="false"/>
    </xf>
    <xf numFmtId="164" fontId="10" fillId="2" borderId="2" xfId="0" applyFont="true" applyBorder="true" applyAlignment="true" applyProtection="true">
      <alignment horizontal="left" vertical="bottom" textRotation="0" wrapText="false" indent="0" shrinkToFit="false"/>
      <protection locked="false" hidden="false"/>
    </xf>
    <xf numFmtId="164" fontId="6" fillId="2" borderId="0" xfId="0" applyFont="true" applyBorder="false" applyAlignment="true" applyProtection="true">
      <alignment horizontal="right" vertical="bottom" textRotation="0" wrapText="false" indent="0" shrinkToFit="false"/>
      <protection locked="true" hidden="true"/>
    </xf>
    <xf numFmtId="164" fontId="0" fillId="4" borderId="6" xfId="0" applyFont="false" applyBorder="true" applyAlignment="false" applyProtection="true">
      <alignment horizontal="general" vertical="bottom" textRotation="0" wrapText="false" indent="0" shrinkToFit="false"/>
      <protection locked="true" hidden="true"/>
    </xf>
    <xf numFmtId="164" fontId="0" fillId="4" borderId="7" xfId="0" applyFont="false" applyBorder="true" applyAlignment="false" applyProtection="true">
      <alignment horizontal="general" vertical="bottom" textRotation="0" wrapText="false" indent="0" shrinkToFit="false"/>
      <protection locked="true" hidden="true"/>
    </xf>
    <xf numFmtId="164" fontId="8" fillId="3" borderId="8" xfId="0" applyFont="true" applyBorder="true" applyAlignment="true" applyProtection="true">
      <alignment horizontal="general" vertical="bottom" textRotation="0" wrapText="false" indent="0" shrinkToFit="false"/>
      <protection locked="true" hidden="true"/>
    </xf>
    <xf numFmtId="164" fontId="8" fillId="5" borderId="2" xfId="0" applyFont="true" applyBorder="true" applyAlignment="true" applyProtection="true">
      <alignment horizontal="general" vertical="bottom" textRotation="0" wrapText="false" indent="0" shrinkToFit="false"/>
      <protection locked="true" hidden="true"/>
    </xf>
    <xf numFmtId="164" fontId="8" fillId="5" borderId="8" xfId="0" applyFont="true" applyBorder="true" applyAlignment="true" applyProtection="true">
      <alignment horizontal="general" vertical="bottom" textRotation="0" wrapText="false" indent="0" shrinkToFit="false"/>
      <protection locked="true" hidden="true"/>
    </xf>
    <xf numFmtId="164" fontId="0" fillId="5" borderId="0" xfId="0" applyFont="false" applyBorder="false" applyAlignment="false" applyProtection="true">
      <alignment horizontal="general" vertical="bottom" textRotation="0" wrapText="false" indent="0" shrinkToFit="false"/>
      <protection locked="true" hidden="true"/>
    </xf>
    <xf numFmtId="165" fontId="8" fillId="5" borderId="9" xfId="0" applyFont="true" applyBorder="true" applyAlignment="true" applyProtection="true">
      <alignment horizontal="general" vertical="bottom" textRotation="0" wrapText="false" indent="0" shrinkToFit="false"/>
      <protection locked="false" hidden="false"/>
    </xf>
    <xf numFmtId="164" fontId="8" fillId="5" borderId="0" xfId="0" applyFont="true" applyBorder="false" applyAlignment="false" applyProtection="true">
      <alignment horizontal="general" vertical="bottom" textRotation="0" wrapText="false" indent="0" shrinkToFit="false"/>
      <protection locked="true" hidden="true"/>
    </xf>
    <xf numFmtId="164" fontId="8" fillId="5" borderId="9" xfId="0" applyFont="true" applyBorder="true" applyAlignment="true" applyProtection="true">
      <alignment horizontal="left" vertical="bottom" textRotation="0" wrapText="false" indent="0" shrinkToFit="false"/>
      <protection locked="false" hidden="false"/>
    </xf>
    <xf numFmtId="164" fontId="8" fillId="5" borderId="10" xfId="0" applyFont="true" applyBorder="true" applyAlignment="true" applyProtection="true">
      <alignment horizontal="right" vertical="bottom" textRotation="0" wrapText="false" indent="0" shrinkToFit="false"/>
      <protection locked="true" hidden="true"/>
    </xf>
    <xf numFmtId="164" fontId="8" fillId="5" borderId="11" xfId="0" applyFont="true" applyBorder="true" applyAlignment="true" applyProtection="true">
      <alignment horizontal="right" vertical="bottom" textRotation="0" wrapText="false" indent="0" shrinkToFit="false"/>
      <protection locked="true" hidden="true"/>
    </xf>
    <xf numFmtId="166" fontId="8" fillId="5" borderId="12" xfId="0" applyFont="true" applyBorder="true" applyAlignment="true" applyProtection="true">
      <alignment horizontal="left" vertical="bottom" textRotation="0" wrapText="false" indent="0" shrinkToFit="false"/>
      <protection locked="false" hidden="false"/>
    </xf>
    <xf numFmtId="164" fontId="8" fillId="6" borderId="13" xfId="0" applyFont="true" applyBorder="true" applyAlignment="true" applyProtection="true">
      <alignment horizontal="left" vertical="bottom" textRotation="0" wrapText="false" indent="0" shrinkToFit="false"/>
      <protection locked="true" hidden="true"/>
    </xf>
    <xf numFmtId="164" fontId="8" fillId="6" borderId="13" xfId="0" applyFont="true" applyBorder="true" applyAlignment="false" applyProtection="true">
      <alignment horizontal="general" vertical="bottom" textRotation="0" wrapText="false" indent="0" shrinkToFit="false"/>
      <protection locked="true" hidden="true"/>
    </xf>
    <xf numFmtId="164" fontId="8" fillId="3" borderId="13" xfId="0" applyFont="true" applyBorder="true" applyAlignment="false" applyProtection="true">
      <alignment horizontal="general" vertical="bottom" textRotation="0" wrapText="false" indent="0" shrinkToFit="false"/>
      <protection locked="true" hidden="true"/>
    </xf>
    <xf numFmtId="164" fontId="11" fillId="7" borderId="14" xfId="0" applyFont="true" applyBorder="true" applyAlignment="false" applyProtection="true">
      <alignment horizontal="general" vertical="bottom" textRotation="0" wrapText="false" indent="0" shrinkToFit="false"/>
      <protection locked="true" hidden="true"/>
    </xf>
    <xf numFmtId="164" fontId="0" fillId="7" borderId="15" xfId="0" applyFont="false" applyBorder="true" applyAlignment="false" applyProtection="true">
      <alignment horizontal="general" vertical="bottom" textRotation="0" wrapText="false" indent="0" shrinkToFit="false"/>
      <protection locked="true" hidden="true"/>
    </xf>
    <xf numFmtId="164" fontId="0" fillId="7" borderId="16" xfId="0" applyFont="false" applyBorder="true" applyAlignment="false" applyProtection="true">
      <alignment horizontal="general" vertical="bottom" textRotation="0" wrapText="false" indent="0" shrinkToFit="false"/>
      <protection locked="true" hidden="true"/>
    </xf>
    <xf numFmtId="164" fontId="12" fillId="7" borderId="16" xfId="0" applyFont="true" applyBorder="true" applyAlignment="false" applyProtection="true">
      <alignment horizontal="general" vertical="bottom" textRotation="0" wrapText="false" indent="0" shrinkToFit="false"/>
      <protection locked="true" hidden="true"/>
    </xf>
    <xf numFmtId="164" fontId="0" fillId="7" borderId="17" xfId="0" applyFont="false" applyBorder="true" applyAlignment="false" applyProtection="true">
      <alignment horizontal="general" vertical="bottom" textRotation="0" wrapText="false" indent="0" shrinkToFit="false"/>
      <protection locked="true" hidden="true"/>
    </xf>
    <xf numFmtId="164" fontId="7" fillId="4" borderId="7" xfId="0" applyFont="true" applyBorder="true" applyAlignment="true" applyProtection="true">
      <alignment horizontal="center" vertical="bottom" textRotation="0" wrapText="false" indent="0" shrinkToFit="false"/>
      <protection locked="true" hidden="true"/>
    </xf>
    <xf numFmtId="164" fontId="13" fillId="6" borderId="18" xfId="0" applyFont="true" applyBorder="true" applyAlignment="false" applyProtection="true">
      <alignment horizontal="general" vertical="bottom" textRotation="0" wrapText="false" indent="0" shrinkToFit="false"/>
      <protection locked="true" hidden="true"/>
    </xf>
    <xf numFmtId="164" fontId="8" fillId="8" borderId="19" xfId="0" applyFont="true" applyBorder="true" applyAlignment="true" applyProtection="true">
      <alignment horizontal="center" vertical="bottom" textRotation="0" wrapText="false" indent="0" shrinkToFit="false"/>
      <protection locked="true" hidden="true"/>
    </xf>
    <xf numFmtId="164" fontId="8" fillId="8" borderId="20" xfId="0" applyFont="true" applyBorder="true" applyAlignment="true" applyProtection="true">
      <alignment horizontal="center" vertical="bottom" textRotation="0" wrapText="false" indent="0" shrinkToFit="false"/>
      <protection locked="true" hidden="true"/>
    </xf>
    <xf numFmtId="164" fontId="8" fillId="3" borderId="0" xfId="0" applyFont="true" applyBorder="true" applyAlignment="true" applyProtection="true">
      <alignment horizontal="center" vertical="bottom" textRotation="0" wrapText="false" indent="0" shrinkToFit="false"/>
      <protection locked="true" hidden="true"/>
    </xf>
    <xf numFmtId="164" fontId="8" fillId="8" borderId="0" xfId="0" applyFont="true" applyBorder="true" applyAlignment="true" applyProtection="true">
      <alignment horizontal="center" vertical="bottom" textRotation="0" wrapText="false" indent="0" shrinkToFit="false"/>
      <protection locked="true" hidden="true"/>
    </xf>
    <xf numFmtId="164" fontId="8" fillId="6" borderId="0" xfId="0" applyFont="true" applyBorder="true" applyAlignment="true" applyProtection="true">
      <alignment horizontal="center" vertical="bottom" textRotation="0" wrapText="false" indent="0" shrinkToFit="false"/>
      <protection locked="true" hidden="true"/>
    </xf>
    <xf numFmtId="164" fontId="8" fillId="7" borderId="21" xfId="0" applyFont="true" applyBorder="true" applyAlignment="true" applyProtection="true">
      <alignment horizontal="left" vertical="bottom" textRotation="0" wrapText="false" indent="0" shrinkToFit="false"/>
      <protection locked="true" hidden="true"/>
    </xf>
    <xf numFmtId="164" fontId="8" fillId="7" borderId="22" xfId="0" applyFont="true" applyBorder="true" applyAlignment="true" applyProtection="true">
      <alignment horizontal="center" vertical="bottom" textRotation="0" wrapText="false" indent="0" shrinkToFit="false"/>
      <protection locked="true" hidden="true"/>
    </xf>
    <xf numFmtId="164" fontId="14" fillId="7" borderId="22" xfId="0" applyFont="true" applyBorder="true" applyAlignment="true" applyProtection="true">
      <alignment horizontal="center" vertical="bottom" textRotation="0" wrapText="false" indent="0" shrinkToFit="false"/>
      <protection locked="true" hidden="true"/>
    </xf>
    <xf numFmtId="167" fontId="15" fillId="9" borderId="23" xfId="0" applyFont="true" applyBorder="true" applyAlignment="true" applyProtection="true">
      <alignment horizontal="right" vertical="top" textRotation="0" wrapText="false" indent="0" shrinkToFit="false"/>
      <protection locked="true" hidden="true"/>
    </xf>
    <xf numFmtId="167" fontId="15" fillId="9" borderId="24" xfId="0" applyFont="true" applyBorder="true" applyAlignment="true" applyProtection="true">
      <alignment horizontal="left" vertical="top" textRotation="0" wrapText="false" indent="0" shrinkToFit="false"/>
      <protection locked="true" hidden="true"/>
    </xf>
    <xf numFmtId="167" fontId="16" fillId="9" borderId="15" xfId="0" applyFont="true" applyBorder="true" applyAlignment="true" applyProtection="true">
      <alignment horizontal="left" vertical="top" textRotation="0" wrapText="false" indent="0" shrinkToFit="false"/>
      <protection locked="true" hidden="true"/>
    </xf>
    <xf numFmtId="167" fontId="13" fillId="9" borderId="25" xfId="0" applyFont="true" applyBorder="true" applyAlignment="true" applyProtection="true">
      <alignment horizontal="center" vertical="top" textRotation="0" wrapText="false" indent="0" shrinkToFit="false"/>
      <protection locked="true" hidden="true"/>
    </xf>
    <xf numFmtId="164" fontId="13" fillId="8" borderId="18" xfId="0" applyFont="true" applyBorder="true" applyAlignment="false" applyProtection="true">
      <alignment horizontal="general" vertical="bottom" textRotation="0" wrapText="false" indent="0" shrinkToFit="false"/>
      <protection locked="true" hidden="true"/>
    </xf>
    <xf numFmtId="164" fontId="8" fillId="5" borderId="26" xfId="0" applyFont="true" applyBorder="true" applyAlignment="true" applyProtection="true">
      <alignment horizontal="center" vertical="bottom" textRotation="0" wrapText="false" indent="0" shrinkToFit="false"/>
      <protection locked="false" hidden="false"/>
    </xf>
    <xf numFmtId="164" fontId="8" fillId="5" borderId="20" xfId="0" applyFont="true" applyBorder="true" applyAlignment="true" applyProtection="true">
      <alignment horizontal="center" vertical="bottom" textRotation="0" wrapText="false" indent="0" shrinkToFit="false"/>
      <protection locked="false" hidden="false"/>
    </xf>
    <xf numFmtId="164" fontId="12" fillId="7" borderId="27" xfId="0" applyFont="true" applyBorder="true" applyAlignment="true" applyProtection="true">
      <alignment horizontal="left" vertical="bottom" textRotation="0" wrapText="false" indent="0" shrinkToFit="false"/>
      <protection locked="true" hidden="true"/>
    </xf>
    <xf numFmtId="164" fontId="8" fillId="7" borderId="28" xfId="0" applyFont="true" applyBorder="true" applyAlignment="true" applyProtection="true">
      <alignment horizontal="center" vertical="bottom" textRotation="0" wrapText="false" indent="0" shrinkToFit="false"/>
      <protection locked="true" hidden="true"/>
    </xf>
    <xf numFmtId="164" fontId="0" fillId="7" borderId="28" xfId="0" applyFont="false" applyBorder="true" applyAlignment="false" applyProtection="true">
      <alignment horizontal="general" vertical="bottom" textRotation="0" wrapText="false" indent="0" shrinkToFit="false"/>
      <protection locked="true" hidden="true"/>
    </xf>
    <xf numFmtId="164" fontId="17" fillId="9" borderId="29" xfId="0" applyFont="true" applyBorder="true" applyAlignment="true" applyProtection="true">
      <alignment horizontal="left" vertical="bottom" textRotation="0" wrapText="false" indent="0" shrinkToFit="false"/>
      <protection locked="true" hidden="true"/>
    </xf>
    <xf numFmtId="164" fontId="8" fillId="9" borderId="30" xfId="0" applyFont="true" applyBorder="true" applyAlignment="true" applyProtection="true">
      <alignment horizontal="right" vertical="top" textRotation="0" wrapText="false" indent="0" shrinkToFit="false"/>
      <protection locked="true" hidden="true"/>
    </xf>
    <xf numFmtId="164" fontId="18" fillId="9" borderId="31" xfId="0" applyFont="true" applyBorder="true" applyAlignment="true" applyProtection="true">
      <alignment horizontal="center" vertical="top" textRotation="0" wrapText="false" indent="0" shrinkToFit="false"/>
      <protection locked="true" hidden="true"/>
    </xf>
    <xf numFmtId="164" fontId="17" fillId="8" borderId="18" xfId="0" applyFont="true" applyBorder="true" applyAlignment="false" applyProtection="true">
      <alignment horizontal="general" vertical="bottom" textRotation="0" wrapText="false" indent="0" shrinkToFit="false"/>
      <protection locked="true" hidden="true"/>
    </xf>
    <xf numFmtId="164" fontId="13" fillId="5" borderId="3" xfId="0" applyFont="true" applyBorder="true" applyAlignment="true" applyProtection="true">
      <alignment horizontal="center" vertical="bottom" textRotation="0" wrapText="false" indent="0" shrinkToFit="false"/>
      <protection locked="false" hidden="false"/>
    </xf>
    <xf numFmtId="164" fontId="13" fillId="5" borderId="12" xfId="0" applyFont="true" applyBorder="true" applyAlignment="true" applyProtection="true">
      <alignment horizontal="center" vertical="bottom" textRotation="0" wrapText="false" indent="0" shrinkToFit="false"/>
      <protection locked="false" hidden="false"/>
    </xf>
    <xf numFmtId="164" fontId="13" fillId="3" borderId="0" xfId="0" applyFont="true" applyBorder="true" applyAlignment="true" applyProtection="true">
      <alignment horizontal="center" vertical="bottom" textRotation="0" wrapText="false" indent="0" shrinkToFit="false"/>
      <protection locked="true" hidden="true"/>
    </xf>
    <xf numFmtId="168" fontId="8" fillId="6" borderId="0" xfId="0" applyFont="true" applyBorder="false" applyAlignment="true" applyProtection="true">
      <alignment horizontal="left" vertical="bottom" textRotation="0" wrapText="false" indent="0" shrinkToFit="false"/>
      <protection locked="true" hidden="true"/>
    </xf>
    <xf numFmtId="164" fontId="8" fillId="6" borderId="0" xfId="0" applyFont="true" applyBorder="true" applyAlignment="true" applyProtection="true">
      <alignment horizontal="left" vertical="bottom" textRotation="0" wrapText="false" indent="0" shrinkToFit="false"/>
      <protection locked="true" hidden="true"/>
    </xf>
    <xf numFmtId="164" fontId="13" fillId="7" borderId="32" xfId="0" applyFont="true" applyBorder="true" applyAlignment="true" applyProtection="true">
      <alignment horizontal="center" vertical="bottom" textRotation="0" wrapText="false" indent="0" shrinkToFit="false"/>
      <protection locked="true" hidden="true"/>
    </xf>
    <xf numFmtId="164" fontId="13" fillId="7" borderId="0" xfId="0" applyFont="true" applyBorder="true" applyAlignment="true" applyProtection="true">
      <alignment horizontal="center" vertical="bottom" textRotation="0" wrapText="false" indent="0" shrinkToFit="false"/>
      <protection locked="true" hidden="true"/>
    </xf>
    <xf numFmtId="164" fontId="19" fillId="7" borderId="0" xfId="0" applyFont="true" applyBorder="true" applyAlignment="true" applyProtection="true">
      <alignment horizontal="center" vertical="bottom" textRotation="90" wrapText="false" indent="0" shrinkToFit="false"/>
      <protection locked="true" hidden="true"/>
    </xf>
    <xf numFmtId="164" fontId="16" fillId="7" borderId="0" xfId="0" applyFont="true" applyBorder="true" applyAlignment="true" applyProtection="true">
      <alignment horizontal="right" vertical="bottom" textRotation="0" wrapText="false" indent="0" shrinkToFit="false"/>
      <protection locked="true" hidden="true"/>
    </xf>
    <xf numFmtId="164" fontId="20" fillId="7" borderId="33" xfId="0" applyFont="true" applyBorder="true" applyAlignment="true" applyProtection="true">
      <alignment horizontal="left" vertical="top" textRotation="0" wrapText="false" indent="0" shrinkToFit="false"/>
      <protection locked="true" hidden="true"/>
    </xf>
    <xf numFmtId="164" fontId="21" fillId="7" borderId="13" xfId="0" applyFont="true" applyBorder="true" applyAlignment="true" applyProtection="true">
      <alignment horizontal="left" vertical="top" textRotation="0" wrapText="false" indent="0" shrinkToFit="false"/>
      <protection locked="true" hidden="true"/>
    </xf>
    <xf numFmtId="164" fontId="21" fillId="7" borderId="34" xfId="0" applyFont="true" applyBorder="true" applyAlignment="true" applyProtection="true">
      <alignment horizontal="left" vertical="top" textRotation="0" wrapText="false" indent="0" shrinkToFit="false"/>
      <protection locked="true" hidden="true"/>
    </xf>
    <xf numFmtId="164" fontId="8" fillId="8" borderId="1" xfId="0" applyFont="true" applyBorder="true" applyAlignment="true" applyProtection="true">
      <alignment horizontal="center" vertical="bottom" textRotation="0" wrapText="false" indent="0" shrinkToFit="false"/>
      <protection locked="true" hidden="true"/>
    </xf>
    <xf numFmtId="164" fontId="16" fillId="6" borderId="0" xfId="0" applyFont="true" applyBorder="false" applyAlignment="true" applyProtection="true">
      <alignment horizontal="left" vertical="bottom" textRotation="0" wrapText="false" indent="0" shrinkToFit="false"/>
      <protection locked="true" hidden="true"/>
    </xf>
    <xf numFmtId="164" fontId="16" fillId="6" borderId="0" xfId="0" applyFont="true" applyBorder="false" applyAlignment="true" applyProtection="true">
      <alignment horizontal="right" vertical="bottom" textRotation="0" wrapText="false" indent="0" shrinkToFit="false"/>
      <protection locked="true" hidden="true"/>
    </xf>
    <xf numFmtId="164" fontId="13" fillId="3" borderId="0" xfId="0" applyFont="true" applyBorder="false" applyAlignment="true" applyProtection="true">
      <alignment horizontal="center" vertical="bottom" textRotation="0" wrapText="false" indent="0" shrinkToFit="false"/>
      <protection locked="true" hidden="true"/>
    </xf>
    <xf numFmtId="164" fontId="22" fillId="7" borderId="35" xfId="0" applyFont="true" applyBorder="true" applyAlignment="true" applyProtection="true">
      <alignment horizontal="right" vertical="top" textRotation="0" wrapText="false" indent="0" shrinkToFit="false"/>
      <protection locked="true" hidden="true"/>
    </xf>
    <xf numFmtId="169" fontId="13" fillId="7" borderId="0" xfId="0" applyFont="true" applyBorder="true" applyAlignment="true" applyProtection="true">
      <alignment horizontal="left" vertical="top" textRotation="0" wrapText="false" indent="0" shrinkToFit="false"/>
      <protection locked="true" hidden="true"/>
    </xf>
    <xf numFmtId="169" fontId="13" fillId="7" borderId="36" xfId="0" applyFont="true" applyBorder="true" applyAlignment="true" applyProtection="true">
      <alignment horizontal="left" vertical="top" textRotation="0" wrapText="false" indent="0" shrinkToFit="false"/>
      <protection locked="true" hidden="true"/>
    </xf>
    <xf numFmtId="164" fontId="8" fillId="8" borderId="18" xfId="0" applyFont="true" applyBorder="true" applyAlignment="false" applyProtection="true">
      <alignment horizontal="general" vertical="bottom" textRotation="0" wrapText="false" indent="0" shrinkToFit="false"/>
      <protection locked="true" hidden="true"/>
    </xf>
    <xf numFmtId="167" fontId="8" fillId="5" borderId="3" xfId="0" applyFont="true" applyBorder="true" applyAlignment="true" applyProtection="true">
      <alignment horizontal="center" vertical="bottom" textRotation="0" wrapText="false" indent="0" shrinkToFit="false"/>
      <protection locked="false" hidden="false"/>
    </xf>
    <xf numFmtId="167" fontId="8" fillId="5" borderId="12" xfId="0" applyFont="true" applyBorder="true" applyAlignment="true" applyProtection="true">
      <alignment horizontal="center" vertical="bottom" textRotation="0" wrapText="false" indent="0" shrinkToFit="false"/>
      <protection locked="false" hidden="false"/>
    </xf>
    <xf numFmtId="170" fontId="8" fillId="3" borderId="2" xfId="0" applyFont="true" applyBorder="true" applyAlignment="true" applyProtection="true">
      <alignment horizontal="center" vertical="bottom" textRotation="0" wrapText="false" indent="0" shrinkToFit="false"/>
      <protection locked="true" hidden="true"/>
    </xf>
    <xf numFmtId="167" fontId="23" fillId="6" borderId="2" xfId="0" applyFont="true" applyBorder="true" applyAlignment="true" applyProtection="true">
      <alignment horizontal="right" vertical="bottom" textRotation="0" wrapText="false" indent="0" shrinkToFit="false"/>
      <protection locked="true" hidden="true"/>
    </xf>
    <xf numFmtId="170" fontId="23" fillId="6" borderId="0" xfId="0" applyFont="true" applyBorder="true" applyAlignment="true" applyProtection="true">
      <alignment horizontal="right" vertical="bottom" textRotation="0" wrapText="false" indent="0" shrinkToFit="false"/>
      <protection locked="true" hidden="true"/>
    </xf>
    <xf numFmtId="164" fontId="8" fillId="3" borderId="2" xfId="0" applyFont="true" applyBorder="true" applyAlignment="true" applyProtection="true">
      <alignment horizontal="center" vertical="bottom" textRotation="0" wrapText="false" indent="0" shrinkToFit="false"/>
      <protection locked="true" hidden="true"/>
    </xf>
    <xf numFmtId="164" fontId="8" fillId="7" borderId="32" xfId="0" applyFont="true" applyBorder="true" applyAlignment="true" applyProtection="true">
      <alignment horizontal="center" vertical="bottom" textRotation="0" wrapText="false" indent="0" shrinkToFit="false"/>
      <protection locked="true" hidden="true"/>
    </xf>
    <xf numFmtId="164" fontId="8" fillId="7" borderId="0" xfId="0" applyFont="true" applyBorder="true" applyAlignment="true" applyProtection="true">
      <alignment horizontal="center" vertical="bottom" textRotation="0" wrapText="false" indent="0" shrinkToFit="false"/>
      <protection locked="true" hidden="true"/>
    </xf>
    <xf numFmtId="167" fontId="13" fillId="7" borderId="37" xfId="0" applyFont="true" applyBorder="true" applyAlignment="true" applyProtection="true">
      <alignment horizontal="left" vertical="bottom" textRotation="0" wrapText="false" indent="0" shrinkToFit="false"/>
      <protection locked="true" hidden="true"/>
    </xf>
    <xf numFmtId="164" fontId="0" fillId="4" borderId="38" xfId="0" applyFont="false" applyBorder="true" applyAlignment="false" applyProtection="true">
      <alignment horizontal="general" vertical="bottom" textRotation="0" wrapText="false" indent="0" shrinkToFit="false"/>
      <protection locked="true" hidden="true"/>
    </xf>
    <xf numFmtId="164" fontId="0" fillId="4" borderId="39" xfId="0" applyFont="false" applyBorder="true" applyAlignment="false" applyProtection="true">
      <alignment horizontal="general" vertical="bottom" textRotation="0" wrapText="false" indent="0" shrinkToFit="false"/>
      <protection locked="true" hidden="true"/>
    </xf>
    <xf numFmtId="164" fontId="24" fillId="8" borderId="18" xfId="0" applyFont="true" applyBorder="true" applyAlignment="false" applyProtection="true">
      <alignment horizontal="general" vertical="bottom" textRotation="0" wrapText="false" indent="0" shrinkToFit="false"/>
      <protection locked="true" hidden="true"/>
    </xf>
    <xf numFmtId="167" fontId="13" fillId="5" borderId="3" xfId="0" applyFont="true" applyBorder="true" applyAlignment="true" applyProtection="true">
      <alignment horizontal="center" vertical="bottom" textRotation="0" wrapText="false" indent="0" shrinkToFit="false"/>
      <protection locked="false" hidden="false"/>
    </xf>
    <xf numFmtId="167" fontId="13" fillId="5" borderId="12" xfId="0" applyFont="true" applyBorder="true" applyAlignment="true" applyProtection="true">
      <alignment horizontal="center" vertical="bottom" textRotation="0" wrapText="false" indent="0" shrinkToFit="false"/>
      <protection locked="false" hidden="false"/>
    </xf>
    <xf numFmtId="170" fontId="13" fillId="3" borderId="2" xfId="0" applyFont="true" applyBorder="true" applyAlignment="true" applyProtection="true">
      <alignment horizontal="center" vertical="bottom" textRotation="0" wrapText="false" indent="0" shrinkToFit="false"/>
      <protection locked="true" hidden="true"/>
    </xf>
    <xf numFmtId="164" fontId="13" fillId="3" borderId="2" xfId="0" applyFont="true" applyBorder="true" applyAlignment="true" applyProtection="true">
      <alignment horizontal="center" vertical="bottom" textRotation="0" wrapText="false" indent="0" shrinkToFit="false"/>
      <protection locked="true" hidden="true"/>
    </xf>
    <xf numFmtId="164" fontId="13" fillId="7" borderId="40" xfId="0" applyFont="true" applyBorder="true" applyAlignment="true" applyProtection="true">
      <alignment horizontal="center" vertical="bottom" textRotation="0" wrapText="false" indent="0" shrinkToFit="false"/>
      <protection locked="true" hidden="true"/>
    </xf>
    <xf numFmtId="167" fontId="12" fillId="7" borderId="2" xfId="0" applyFont="true" applyBorder="true" applyAlignment="true" applyProtection="true">
      <alignment horizontal="left" vertical="bottom" textRotation="0" wrapText="false" indent="0" shrinkToFit="false"/>
      <protection locked="true" hidden="true"/>
    </xf>
    <xf numFmtId="167" fontId="13" fillId="7" borderId="3" xfId="0" applyFont="true" applyBorder="true" applyAlignment="true" applyProtection="true">
      <alignment horizontal="center" vertical="bottom" textRotation="0" wrapText="false" indent="0" shrinkToFit="false"/>
      <protection locked="true" hidden="true"/>
    </xf>
    <xf numFmtId="164" fontId="22" fillId="7" borderId="0" xfId="0" applyFont="true" applyBorder="true" applyAlignment="true" applyProtection="true">
      <alignment horizontal="right" vertical="top" textRotation="0" wrapText="false" indent="0" shrinkToFit="false"/>
      <protection locked="true" hidden="true"/>
    </xf>
    <xf numFmtId="171" fontId="13" fillId="7" borderId="0" xfId="0" applyFont="true" applyBorder="true" applyAlignment="true" applyProtection="true">
      <alignment horizontal="left" vertical="top" textRotation="0" wrapText="false" indent="0" shrinkToFit="false"/>
      <protection locked="true" hidden="true"/>
    </xf>
    <xf numFmtId="171" fontId="13" fillId="7" borderId="36" xfId="0" applyFont="true" applyBorder="true" applyAlignment="true" applyProtection="true">
      <alignment horizontal="left" vertical="top" textRotation="0" wrapText="false" indent="0" shrinkToFit="false"/>
      <protection locked="true" hidden="true"/>
    </xf>
    <xf numFmtId="164" fontId="16" fillId="8" borderId="41" xfId="0" applyFont="true" applyBorder="true" applyAlignment="false" applyProtection="true">
      <alignment horizontal="general" vertical="bottom" textRotation="0" wrapText="false" indent="0" shrinkToFit="false"/>
      <protection locked="true" hidden="true"/>
    </xf>
    <xf numFmtId="167" fontId="13" fillId="5" borderId="42" xfId="0" applyFont="true" applyBorder="true" applyAlignment="true" applyProtection="true">
      <alignment horizontal="center" vertical="bottom" textRotation="0" wrapText="false" indent="0" shrinkToFit="false"/>
      <protection locked="false" hidden="false"/>
    </xf>
    <xf numFmtId="167" fontId="13" fillId="5" borderId="43" xfId="0" applyFont="true" applyBorder="true" applyAlignment="true" applyProtection="true">
      <alignment horizontal="center" vertical="bottom" textRotation="0" wrapText="false" indent="0" shrinkToFit="false"/>
      <protection locked="false" hidden="false"/>
    </xf>
    <xf numFmtId="170" fontId="13" fillId="3" borderId="0" xfId="0" applyFont="true" applyBorder="true" applyAlignment="true" applyProtection="true">
      <alignment horizontal="center" vertical="bottom" textRotation="0" wrapText="false" indent="0" shrinkToFit="false"/>
      <protection locked="true" hidden="true"/>
    </xf>
    <xf numFmtId="167" fontId="25" fillId="6" borderId="0" xfId="0" applyFont="true" applyBorder="false" applyAlignment="false" applyProtection="true">
      <alignment horizontal="general" vertical="bottom" textRotation="0" wrapText="false" indent="0" shrinkToFit="false"/>
      <protection locked="true" hidden="true"/>
    </xf>
    <xf numFmtId="170" fontId="25" fillId="6" borderId="0" xfId="0" applyFont="true" applyBorder="true" applyAlignment="false" applyProtection="true">
      <alignment horizontal="general" vertical="bottom" textRotation="0" wrapText="false" indent="0" shrinkToFit="false"/>
      <protection locked="true" hidden="true"/>
    </xf>
    <xf numFmtId="172" fontId="13" fillId="7" borderId="44" xfId="0" applyFont="true" applyBorder="true" applyAlignment="true" applyProtection="true">
      <alignment horizontal="center" vertical="bottom" textRotation="0" wrapText="false" indent="0" shrinkToFit="false"/>
      <protection locked="true" hidden="true"/>
    </xf>
    <xf numFmtId="171" fontId="13" fillId="7" borderId="0" xfId="0" applyFont="true" applyBorder="true" applyAlignment="true" applyProtection="true">
      <alignment horizontal="center" vertical="bottom" textRotation="0" wrapText="false" indent="0" shrinkToFit="false"/>
      <protection locked="true" hidden="true"/>
    </xf>
    <xf numFmtId="172" fontId="13" fillId="7" borderId="37" xfId="0" applyFont="true" applyBorder="true" applyAlignment="true" applyProtection="true">
      <alignment horizontal="left" vertical="bottom" textRotation="0" wrapText="false" indent="0" shrinkToFit="false"/>
      <protection locked="true" hidden="true"/>
    </xf>
    <xf numFmtId="164" fontId="16" fillId="8" borderId="45" xfId="0" applyFont="true" applyBorder="true" applyAlignment="false" applyProtection="true">
      <alignment horizontal="general" vertical="bottom" textRotation="0" wrapText="false" indent="0" shrinkToFit="false"/>
      <protection locked="true" hidden="true"/>
    </xf>
    <xf numFmtId="167" fontId="13" fillId="5" borderId="46" xfId="0" applyFont="true" applyBorder="true" applyAlignment="true" applyProtection="true">
      <alignment horizontal="center" vertical="bottom" textRotation="0" wrapText="false" indent="0" shrinkToFit="false"/>
      <protection locked="false" hidden="false"/>
    </xf>
    <xf numFmtId="167" fontId="13" fillId="5" borderId="47" xfId="0" applyFont="true" applyBorder="true" applyAlignment="true" applyProtection="true">
      <alignment horizontal="center" vertical="bottom" textRotation="0" wrapText="false" indent="0" shrinkToFit="false"/>
      <protection locked="false" hidden="false"/>
    </xf>
    <xf numFmtId="170" fontId="25" fillId="6" borderId="0" xfId="0" applyFont="true" applyBorder="false" applyAlignment="false" applyProtection="true">
      <alignment horizontal="general" vertical="bottom" textRotation="0" wrapText="false" indent="0" shrinkToFit="false"/>
      <protection locked="true" hidden="true"/>
    </xf>
    <xf numFmtId="172" fontId="13" fillId="7" borderId="32" xfId="0" applyFont="true" applyBorder="true" applyAlignment="true" applyProtection="true">
      <alignment horizontal="center" vertical="bottom" textRotation="0" wrapText="false" indent="0" shrinkToFit="false"/>
      <protection locked="true" hidden="true"/>
    </xf>
    <xf numFmtId="172" fontId="13" fillId="7" borderId="0" xfId="0" applyFont="true" applyBorder="true" applyAlignment="true" applyProtection="true">
      <alignment horizontal="left" vertical="bottom" textRotation="0" wrapText="false" indent="0" shrinkToFit="false"/>
      <protection locked="true" hidden="true"/>
    </xf>
    <xf numFmtId="164" fontId="20" fillId="7" borderId="1" xfId="0" applyFont="true" applyBorder="true" applyAlignment="true" applyProtection="true">
      <alignment horizontal="left" vertical="top" textRotation="0" wrapText="false" indent="0" shrinkToFit="false"/>
      <protection locked="true" hidden="true"/>
    </xf>
    <xf numFmtId="164" fontId="12" fillId="7" borderId="2" xfId="0" applyFont="true" applyBorder="true" applyAlignment="true" applyProtection="true">
      <alignment horizontal="left" vertical="top" textRotation="0" wrapText="false" indent="0" shrinkToFit="false"/>
      <protection locked="true" hidden="true"/>
    </xf>
    <xf numFmtId="164" fontId="21" fillId="7" borderId="48" xfId="0" applyFont="true" applyBorder="true" applyAlignment="true" applyProtection="true">
      <alignment horizontal="left" vertical="top" textRotation="0" wrapText="false" indent="0" shrinkToFit="false"/>
      <protection locked="true" hidden="true"/>
    </xf>
    <xf numFmtId="164" fontId="16" fillId="7" borderId="49" xfId="0" applyFont="true" applyBorder="true" applyAlignment="true" applyProtection="true">
      <alignment horizontal="right" vertical="top" textRotation="0" wrapText="false" indent="0" shrinkToFit="false"/>
      <protection locked="true" hidden="true"/>
    </xf>
    <xf numFmtId="171" fontId="13" fillId="7" borderId="8" xfId="0" applyFont="true" applyBorder="true" applyAlignment="true" applyProtection="true">
      <alignment horizontal="right" vertical="top" textRotation="0" wrapText="false" indent="0" shrinkToFit="false"/>
      <protection locked="true" hidden="true"/>
    </xf>
    <xf numFmtId="164" fontId="13" fillId="7" borderId="50" xfId="0" applyFont="true" applyBorder="true" applyAlignment="true" applyProtection="true">
      <alignment horizontal="left" vertical="top" textRotation="0" wrapText="false" indent="0" shrinkToFit="false"/>
      <protection locked="true" hidden="true"/>
    </xf>
    <xf numFmtId="164" fontId="16" fillId="7" borderId="51" xfId="0" applyFont="true" applyBorder="true" applyAlignment="true" applyProtection="true">
      <alignment horizontal="right" vertical="top" textRotation="0" wrapText="false" indent="0" shrinkToFit="false"/>
      <protection locked="true" hidden="true"/>
    </xf>
    <xf numFmtId="171" fontId="13" fillId="7" borderId="52" xfId="0" applyFont="true" applyBorder="true" applyAlignment="true" applyProtection="true">
      <alignment horizontal="right" vertical="top" textRotation="0" wrapText="false" indent="0" shrinkToFit="false"/>
      <protection locked="true" hidden="true"/>
    </xf>
    <xf numFmtId="164" fontId="13" fillId="7" borderId="53" xfId="0" applyFont="true" applyBorder="true" applyAlignment="true" applyProtection="true">
      <alignment horizontal="left" vertical="top" textRotation="0" wrapText="false" indent="0" shrinkToFit="false"/>
      <protection locked="true" hidden="true"/>
    </xf>
    <xf numFmtId="164" fontId="16" fillId="8" borderId="54" xfId="0" applyFont="true" applyBorder="true" applyAlignment="false" applyProtection="true">
      <alignment horizontal="general" vertical="bottom" textRotation="0" wrapText="false" indent="0" shrinkToFit="false"/>
      <protection locked="true" hidden="true"/>
    </xf>
    <xf numFmtId="167" fontId="13" fillId="5" borderId="55" xfId="0" applyFont="true" applyBorder="true" applyAlignment="true" applyProtection="true">
      <alignment horizontal="center" vertical="bottom" textRotation="0" wrapText="false" indent="0" shrinkToFit="false"/>
      <protection locked="false" hidden="false"/>
    </xf>
    <xf numFmtId="167" fontId="13" fillId="5" borderId="56" xfId="0" applyFont="true" applyBorder="true" applyAlignment="true" applyProtection="true">
      <alignment horizontal="center" vertical="bottom" textRotation="0" wrapText="false" indent="0" shrinkToFit="false"/>
      <protection locked="false" hidden="false"/>
    </xf>
    <xf numFmtId="164" fontId="16" fillId="7" borderId="35" xfId="0" applyFont="true" applyBorder="true" applyAlignment="true" applyProtection="true">
      <alignment horizontal="right" vertical="top" textRotation="0" wrapText="false" indent="0" shrinkToFit="false"/>
      <protection locked="true" hidden="true"/>
    </xf>
    <xf numFmtId="171" fontId="13" fillId="7" borderId="0" xfId="0" applyFont="true" applyBorder="true" applyAlignment="true" applyProtection="true">
      <alignment horizontal="right" vertical="top" textRotation="0" wrapText="false" indent="0" shrinkToFit="false"/>
      <protection locked="true" hidden="true"/>
    </xf>
    <xf numFmtId="164" fontId="13" fillId="7" borderId="36" xfId="0" applyFont="true" applyBorder="true" applyAlignment="true" applyProtection="true">
      <alignment horizontal="left" vertical="top" textRotation="0" wrapText="false" indent="0" shrinkToFit="false"/>
      <protection locked="true" hidden="true"/>
    </xf>
    <xf numFmtId="170" fontId="13" fillId="3" borderId="8" xfId="0" applyFont="true" applyBorder="true" applyAlignment="true" applyProtection="true">
      <alignment horizontal="center" vertical="bottom" textRotation="0" wrapText="false" indent="0" shrinkToFit="false"/>
      <protection locked="true" hidden="true"/>
    </xf>
    <xf numFmtId="167" fontId="25" fillId="6" borderId="8" xfId="0" applyFont="true" applyBorder="true" applyAlignment="false" applyProtection="true">
      <alignment horizontal="general" vertical="bottom" textRotation="0" wrapText="false" indent="0" shrinkToFit="false"/>
      <protection locked="true" hidden="true"/>
    </xf>
    <xf numFmtId="172" fontId="13" fillId="7"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64" fontId="16" fillId="8" borderId="57" xfId="0" applyFont="true" applyBorder="true" applyAlignment="false" applyProtection="true">
      <alignment horizontal="general" vertical="bottom" textRotation="0" wrapText="false" indent="0" shrinkToFit="false"/>
      <protection locked="true" hidden="true"/>
    </xf>
    <xf numFmtId="167" fontId="13" fillId="5" borderId="58" xfId="0" applyFont="true" applyBorder="true" applyAlignment="true" applyProtection="true">
      <alignment horizontal="center" vertical="bottom" textRotation="0" wrapText="false" indent="0" shrinkToFit="false"/>
      <protection locked="false" hidden="false"/>
    </xf>
    <xf numFmtId="167" fontId="13" fillId="5" borderId="59" xfId="0" applyFont="true" applyBorder="true" applyAlignment="true" applyProtection="true">
      <alignment horizontal="center" vertical="bottom" textRotation="0" wrapText="false" indent="0" shrinkToFit="false"/>
      <protection locked="false" hidden="false"/>
    </xf>
    <xf numFmtId="170" fontId="12" fillId="3" borderId="0" xfId="0" applyFont="true" applyBorder="true" applyAlignment="true" applyProtection="true">
      <alignment horizontal="center" vertical="bottom" textRotation="0" wrapText="false" indent="0" shrinkToFit="false"/>
      <protection locked="true" hidden="true"/>
    </xf>
    <xf numFmtId="164" fontId="0" fillId="7" borderId="0" xfId="0" applyFont="false" applyBorder="false" applyAlignment="false" applyProtection="true">
      <alignment horizontal="general" vertical="bottom" textRotation="0" wrapText="false" indent="0" shrinkToFit="false"/>
      <protection locked="true" hidden="true"/>
    </xf>
    <xf numFmtId="164" fontId="26" fillId="0" borderId="0" xfId="0" applyFont="true" applyBorder="false" applyAlignment="false" applyProtection="true">
      <alignment horizontal="general" vertical="bottom" textRotation="0" wrapText="false" indent="0" shrinkToFit="false"/>
      <protection locked="true" hidden="true"/>
    </xf>
    <xf numFmtId="168" fontId="26" fillId="6" borderId="1" xfId="0" applyFont="true" applyBorder="true" applyAlignment="false" applyProtection="true">
      <alignment horizontal="general" vertical="bottom" textRotation="0" wrapText="false" indent="0" shrinkToFit="false"/>
      <protection locked="true" hidden="true"/>
    </xf>
    <xf numFmtId="164" fontId="26" fillId="6" borderId="2" xfId="0" applyFont="true" applyBorder="true" applyAlignment="true" applyProtection="true">
      <alignment horizontal="center" vertical="bottom" textRotation="0" wrapText="false" indent="0" shrinkToFit="false"/>
      <protection locked="true" hidden="true"/>
    </xf>
    <xf numFmtId="164" fontId="16" fillId="6" borderId="3" xfId="0" applyFont="true" applyBorder="true" applyAlignment="false" applyProtection="true">
      <alignment horizontal="general" vertical="bottom" textRotation="0" wrapText="false" indent="0" shrinkToFit="false"/>
      <protection locked="true" hidden="true"/>
    </xf>
    <xf numFmtId="168" fontId="27" fillId="3" borderId="27" xfId="0" applyFont="true" applyBorder="true" applyAlignment="false" applyProtection="true">
      <alignment horizontal="general" vertical="bottom" textRotation="0" wrapText="false" indent="0" shrinkToFit="false"/>
      <protection locked="true" hidden="true"/>
    </xf>
    <xf numFmtId="168" fontId="28" fillId="3" borderId="27" xfId="0" applyFont="true" applyBorder="true" applyAlignment="false" applyProtection="true">
      <alignment horizontal="general" vertical="bottom" textRotation="0" wrapText="false" indent="0" shrinkToFit="false"/>
      <protection locked="true" hidden="true"/>
    </xf>
    <xf numFmtId="167" fontId="10" fillId="8" borderId="2" xfId="0" applyFont="true" applyBorder="true" applyAlignment="true" applyProtection="true">
      <alignment horizontal="right" vertical="bottom" textRotation="0" wrapText="false" indent="0" shrinkToFit="false"/>
      <protection locked="true" hidden="true"/>
    </xf>
    <xf numFmtId="164" fontId="16" fillId="3" borderId="0" xfId="0" applyFont="true" applyBorder="true" applyAlignment="false" applyProtection="true">
      <alignment horizontal="general" vertical="bottom" textRotation="0" wrapText="false" indent="0" shrinkToFit="false"/>
      <protection locked="true" hidden="true"/>
    </xf>
    <xf numFmtId="164" fontId="0" fillId="7" borderId="27" xfId="0" applyFont="false" applyBorder="true" applyAlignment="false" applyProtection="true">
      <alignment horizontal="general" vertical="bottom" textRotation="0" wrapText="false" indent="0" shrinkToFit="false"/>
      <protection locked="true" hidden="true"/>
    </xf>
    <xf numFmtId="164" fontId="16" fillId="7" borderId="28" xfId="0" applyFont="true" applyBorder="true" applyAlignment="false" applyProtection="true">
      <alignment horizontal="general" vertical="bottom" textRotation="0" wrapText="false" indent="0" shrinkToFit="false"/>
      <protection locked="true" hidden="true"/>
    </xf>
    <xf numFmtId="167" fontId="8" fillId="7" borderId="28" xfId="0" applyFont="true" applyBorder="true" applyAlignment="true" applyProtection="true">
      <alignment horizontal="left" vertical="bottom" textRotation="0" wrapText="false" indent="0" shrinkToFit="false"/>
      <protection locked="true" hidden="true"/>
    </xf>
    <xf numFmtId="167" fontId="8" fillId="7" borderId="60" xfId="0" applyFont="true" applyBorder="true" applyAlignment="true" applyProtection="true">
      <alignment horizontal="left" vertical="bottom" textRotation="0" wrapText="false" indent="0" shrinkToFit="false"/>
      <protection locked="true" hidden="true"/>
    </xf>
    <xf numFmtId="164" fontId="0" fillId="7" borderId="61" xfId="0" applyFont="false" applyBorder="true" applyAlignment="false" applyProtection="true">
      <alignment horizontal="general" vertical="bottom" textRotation="0" wrapText="false" indent="0" shrinkToFit="false"/>
      <protection locked="true" hidden="true"/>
    </xf>
    <xf numFmtId="164" fontId="13" fillId="7" borderId="62" xfId="0" applyFont="true" applyBorder="true" applyAlignment="true" applyProtection="true">
      <alignment horizontal="left" vertical="top" textRotation="0" wrapText="false" indent="0" shrinkToFit="false"/>
      <protection locked="true" hidden="true"/>
    </xf>
    <xf numFmtId="168" fontId="13" fillId="8" borderId="3" xfId="0" applyFont="true" applyBorder="true" applyAlignment="true" applyProtection="true">
      <alignment horizontal="center" vertical="bottom" textRotation="0" wrapText="false" indent="0" shrinkToFit="false"/>
      <protection locked="true" hidden="true"/>
    </xf>
    <xf numFmtId="167" fontId="13" fillId="8" borderId="12" xfId="0" applyFont="true" applyBorder="true" applyAlignment="true" applyProtection="true">
      <alignment horizontal="center" vertical="bottom" textRotation="0" wrapText="false" indent="0" shrinkToFit="false"/>
      <protection locked="true" hidden="true"/>
    </xf>
    <xf numFmtId="164" fontId="13" fillId="3" borderId="49" xfId="0" applyFont="true" applyBorder="true" applyAlignment="true" applyProtection="true">
      <alignment horizontal="center" vertical="bottom" textRotation="0" wrapText="false" indent="0" shrinkToFit="false"/>
      <protection locked="true" hidden="true"/>
    </xf>
    <xf numFmtId="164" fontId="12" fillId="3" borderId="49" xfId="0" applyFont="true" applyBorder="true" applyAlignment="true" applyProtection="true">
      <alignment horizontal="center" vertical="bottom" textRotation="0" wrapText="false" indent="0" shrinkToFit="false"/>
      <protection locked="true" hidden="true"/>
    </xf>
    <xf numFmtId="167" fontId="25" fillId="8" borderId="0" xfId="0" applyFont="true" applyBorder="false" applyAlignment="false" applyProtection="true">
      <alignment horizontal="general" vertical="bottom" textRotation="0" wrapText="false" indent="0" shrinkToFit="false"/>
      <protection locked="true" hidden="true"/>
    </xf>
    <xf numFmtId="172" fontId="8" fillId="8" borderId="49" xfId="0" applyFont="true" applyBorder="true" applyAlignment="true" applyProtection="true">
      <alignment horizontal="center" vertical="bottom" textRotation="0" wrapText="false" indent="0" shrinkToFit="false"/>
      <protection locked="true" hidden="true"/>
    </xf>
    <xf numFmtId="172" fontId="8" fillId="3" borderId="8" xfId="0" applyFont="true" applyBorder="true" applyAlignment="true" applyProtection="true">
      <alignment horizontal="center" vertical="bottom" textRotation="0" wrapText="false" indent="0" shrinkToFit="false"/>
      <protection locked="true" hidden="true"/>
    </xf>
    <xf numFmtId="172" fontId="8" fillId="8" borderId="0" xfId="0" applyFont="true" applyBorder="true" applyAlignment="true" applyProtection="true">
      <alignment horizontal="center" vertical="bottom" textRotation="0" wrapText="false" indent="0" shrinkToFit="false"/>
      <protection locked="true" hidden="true"/>
    </xf>
    <xf numFmtId="164" fontId="8" fillId="8" borderId="8" xfId="0" applyFont="true" applyBorder="true" applyAlignment="true" applyProtection="true">
      <alignment horizontal="center" vertical="bottom" textRotation="0" wrapText="false" indent="0" shrinkToFit="false"/>
      <protection locked="true" hidden="true"/>
    </xf>
    <xf numFmtId="164" fontId="16" fillId="8" borderId="0" xfId="0" applyFont="true" applyBorder="true" applyAlignment="true" applyProtection="true">
      <alignment horizontal="left" vertical="bottom" textRotation="0" wrapText="false" indent="0" shrinkToFit="false"/>
      <protection locked="true" hidden="true"/>
    </xf>
    <xf numFmtId="164" fontId="16" fillId="8" borderId="63" xfId="0" applyFont="true" applyBorder="true" applyAlignment="true" applyProtection="true">
      <alignment horizontal="left" vertical="bottom" textRotation="0" wrapText="false" indent="0" shrinkToFit="false"/>
      <protection locked="true" hidden="true"/>
    </xf>
    <xf numFmtId="164" fontId="12" fillId="3" borderId="0" xfId="0" applyFont="true" applyBorder="false" applyAlignment="true" applyProtection="true">
      <alignment horizontal="left" vertical="bottom" textRotation="0" wrapText="false" indent="0" shrinkToFit="false"/>
      <protection locked="true" hidden="true"/>
    </xf>
    <xf numFmtId="164" fontId="16" fillId="8" borderId="18" xfId="0" applyFont="true" applyBorder="true" applyAlignment="true" applyProtection="true">
      <alignment horizontal="right" vertical="bottom" textRotation="0" wrapText="false" indent="0" shrinkToFit="false"/>
      <protection locked="true" hidden="true"/>
    </xf>
    <xf numFmtId="167" fontId="13" fillId="8" borderId="3" xfId="0" applyFont="true" applyBorder="true" applyAlignment="true" applyProtection="true">
      <alignment horizontal="center" vertical="bottom" textRotation="0" wrapText="false" indent="0" shrinkToFit="false"/>
      <protection locked="true" hidden="true"/>
    </xf>
    <xf numFmtId="170" fontId="28" fillId="3" borderId="0" xfId="0" applyFont="true" applyBorder="true" applyAlignment="true" applyProtection="true">
      <alignment horizontal="left" vertical="bottom" textRotation="0" wrapText="false" indent="0" shrinkToFit="false"/>
      <protection locked="true" hidden="true"/>
    </xf>
    <xf numFmtId="167" fontId="8" fillId="8" borderId="26" xfId="0" applyFont="true" applyBorder="true" applyAlignment="true" applyProtection="true">
      <alignment horizontal="center" vertical="bottom" textRotation="0" wrapText="false" indent="0" shrinkToFit="false"/>
      <protection locked="true" hidden="true"/>
    </xf>
    <xf numFmtId="170" fontId="26" fillId="8" borderId="0" xfId="0" applyFont="true" applyBorder="true" applyAlignment="true" applyProtection="true">
      <alignment horizontal="left" vertical="bottom" textRotation="0" wrapText="false" indent="0" shrinkToFit="false"/>
      <protection locked="true" hidden="true"/>
    </xf>
    <xf numFmtId="170" fontId="13" fillId="8" borderId="0" xfId="0" applyFont="true" applyBorder="true" applyAlignment="true" applyProtection="true">
      <alignment horizontal="center" vertical="bottom" textRotation="0" wrapText="false" indent="0" shrinkToFit="false"/>
      <protection locked="true" hidden="true"/>
    </xf>
    <xf numFmtId="170" fontId="8" fillId="8" borderId="0" xfId="0" applyFont="true" applyBorder="true" applyAlignment="true" applyProtection="true">
      <alignment horizontal="center" vertical="bottom" textRotation="0" wrapText="false" indent="0" shrinkToFit="false"/>
      <protection locked="true" hidden="true"/>
    </xf>
    <xf numFmtId="164" fontId="29" fillId="8" borderId="0" xfId="0" applyFont="true" applyBorder="true" applyAlignment="false" applyProtection="true">
      <alignment horizontal="general" vertical="bottom" textRotation="0" wrapText="false" indent="0" shrinkToFit="false"/>
      <protection locked="true" hidden="true"/>
    </xf>
    <xf numFmtId="164" fontId="29" fillId="8" borderId="26" xfId="0" applyFont="true" applyBorder="true" applyAlignment="false" applyProtection="true">
      <alignment horizontal="general" vertical="bottom" textRotation="0" wrapText="false" indent="0" shrinkToFit="false"/>
      <protection locked="true" hidden="true"/>
    </xf>
    <xf numFmtId="164" fontId="12" fillId="3" borderId="0" xfId="0" applyFont="true" applyBorder="false" applyAlignment="false" applyProtection="true">
      <alignment horizontal="general" vertical="bottom" textRotation="0" wrapText="false" indent="0" shrinkToFit="false"/>
      <protection locked="true" hidden="true"/>
    </xf>
    <xf numFmtId="164" fontId="28" fillId="8" borderId="18" xfId="0" applyFont="true" applyBorder="true" applyAlignment="true" applyProtection="true">
      <alignment horizontal="center" vertical="bottom" textRotation="0" wrapText="false" indent="0" shrinkToFit="false"/>
      <protection locked="true" hidden="true"/>
    </xf>
    <xf numFmtId="170" fontId="28" fillId="8" borderId="64" xfId="0" applyFont="true" applyBorder="true" applyAlignment="true" applyProtection="true">
      <alignment horizontal="center" vertical="bottom" textRotation="0" wrapText="false" indent="0" shrinkToFit="false"/>
      <protection locked="true" hidden="true"/>
    </xf>
    <xf numFmtId="170" fontId="13" fillId="8" borderId="64" xfId="0" applyFont="true" applyBorder="true" applyAlignment="true" applyProtection="true">
      <alignment horizontal="center" vertical="bottom" textRotation="0" wrapText="false" indent="0" shrinkToFit="false"/>
      <protection locked="true" hidden="true"/>
    </xf>
    <xf numFmtId="170" fontId="13" fillId="8" borderId="8" xfId="0" applyFont="true" applyBorder="true" applyAlignment="true" applyProtection="true">
      <alignment horizontal="center" vertical="bottom" textRotation="0" wrapText="false" indent="0" shrinkToFit="false"/>
      <protection locked="true" hidden="true"/>
    </xf>
    <xf numFmtId="170" fontId="13" fillId="8" borderId="49" xfId="0" applyFont="true" applyBorder="true" applyAlignment="true" applyProtection="true">
      <alignment horizontal="center" vertical="bottom" textRotation="0" wrapText="false" indent="0" shrinkToFit="false"/>
      <protection locked="true" hidden="true"/>
    </xf>
    <xf numFmtId="170" fontId="20" fillId="8" borderId="2" xfId="0" applyFont="true" applyBorder="true" applyAlignment="true" applyProtection="true">
      <alignment horizontal="center" vertical="bottom" textRotation="0" wrapText="false" indent="0" shrinkToFit="false"/>
      <protection locked="true" hidden="true"/>
    </xf>
    <xf numFmtId="164" fontId="13" fillId="8" borderId="3" xfId="0" applyFont="true" applyBorder="true" applyAlignment="true" applyProtection="true">
      <alignment horizontal="center" vertical="bottom" textRotation="0" wrapText="false" indent="0" shrinkToFit="false"/>
      <protection locked="true" hidden="true"/>
    </xf>
    <xf numFmtId="164" fontId="10" fillId="3" borderId="49" xfId="0" applyFont="true" applyBorder="true" applyAlignment="false" applyProtection="true">
      <alignment horizontal="general" vertical="bottom" textRotation="0" wrapText="false" indent="0" shrinkToFit="false"/>
      <protection locked="true" hidden="true"/>
    </xf>
    <xf numFmtId="164" fontId="10" fillId="3" borderId="8" xfId="0" applyFont="true" applyBorder="true" applyAlignment="false" applyProtection="true">
      <alignment horizontal="general" vertical="bottom" textRotation="0" wrapText="false" indent="0" shrinkToFit="false"/>
      <protection locked="true" hidden="true"/>
    </xf>
    <xf numFmtId="164" fontId="10" fillId="3" borderId="0" xfId="0" applyFont="true" applyBorder="true" applyAlignment="true" applyProtection="true">
      <alignment horizontal="center" vertical="bottom" textRotation="0" wrapText="false" indent="0" shrinkToFit="false"/>
      <protection locked="true" hidden="true"/>
    </xf>
    <xf numFmtId="164" fontId="10" fillId="3" borderId="8" xfId="0" applyFont="true" applyBorder="true" applyAlignment="true" applyProtection="true">
      <alignment horizontal="center" vertical="bottom" textRotation="0" wrapText="false" indent="0" shrinkToFit="false"/>
      <protection locked="true" hidden="true"/>
    </xf>
    <xf numFmtId="164" fontId="10" fillId="3" borderId="65" xfId="0" applyFont="true" applyBorder="true" applyAlignment="true" applyProtection="true">
      <alignment horizontal="center" vertical="bottom" textRotation="0" wrapText="false" indent="0" shrinkToFit="false"/>
      <protection locked="true" hidden="true"/>
    </xf>
    <xf numFmtId="164" fontId="0" fillId="8" borderId="12" xfId="0" applyFont="true" applyBorder="true" applyAlignment="true" applyProtection="true">
      <alignment horizontal="center" vertical="bottom" textRotation="0" wrapText="false" indent="0" shrinkToFit="false"/>
      <protection locked="true" hidden="true"/>
    </xf>
    <xf numFmtId="164" fontId="13" fillId="5" borderId="66" xfId="0" applyFont="true" applyBorder="true" applyAlignment="true" applyProtection="true">
      <alignment horizontal="general" vertical="bottom" textRotation="0" wrapText="false" indent="0" shrinkToFit="false"/>
      <protection locked="false" hidden="false"/>
    </xf>
    <xf numFmtId="167" fontId="13" fillId="5" borderId="64" xfId="0" applyFont="true" applyBorder="true" applyAlignment="true" applyProtection="true">
      <alignment horizontal="general" vertical="bottom" textRotation="0" wrapText="false" indent="0" shrinkToFit="false"/>
      <protection locked="false" hidden="false"/>
    </xf>
    <xf numFmtId="167" fontId="13" fillId="5" borderId="43" xfId="0" applyFont="true" applyBorder="true" applyAlignment="true" applyProtection="true">
      <alignment horizontal="general" vertical="bottom" textRotation="0" wrapText="false" indent="0" shrinkToFit="false"/>
      <protection locked="false" hidden="false"/>
    </xf>
    <xf numFmtId="168" fontId="13" fillId="3" borderId="43" xfId="0" applyFont="true" applyBorder="true" applyAlignment="true" applyProtection="true">
      <alignment horizontal="general" vertical="bottom" textRotation="0" wrapText="false" indent="0" shrinkToFit="false"/>
      <protection locked="true" hidden="true"/>
    </xf>
    <xf numFmtId="168" fontId="13" fillId="8" borderId="67" xfId="0" applyFont="true" applyBorder="true" applyAlignment="true" applyProtection="true">
      <alignment horizontal="general" vertical="bottom" textRotation="0" wrapText="false" indent="0" shrinkToFit="false"/>
      <protection locked="true" hidden="true"/>
    </xf>
    <xf numFmtId="168" fontId="25" fillId="6" borderId="67" xfId="0" applyFont="true" applyBorder="true" applyAlignment="true" applyProtection="true">
      <alignment horizontal="general" vertical="bottom" textRotation="0" wrapText="false" indent="0" shrinkToFit="false"/>
      <protection locked="true" hidden="true"/>
    </xf>
    <xf numFmtId="172" fontId="30" fillId="3" borderId="68" xfId="0" applyFont="true" applyBorder="true" applyAlignment="true" applyProtection="true">
      <alignment horizontal="center" vertical="bottom" textRotation="0" wrapText="false" indent="0" shrinkToFit="false"/>
      <protection locked="true" hidden="true"/>
    </xf>
    <xf numFmtId="172" fontId="10" fillId="8" borderId="68" xfId="0" applyFont="true" applyBorder="true" applyAlignment="true" applyProtection="true">
      <alignment horizontal="center" vertical="bottom" textRotation="0" wrapText="false" indent="0" shrinkToFit="false"/>
      <protection locked="true" hidden="true"/>
    </xf>
    <xf numFmtId="172" fontId="10" fillId="8" borderId="52" xfId="0" applyFont="true" applyBorder="true" applyAlignment="true" applyProtection="true">
      <alignment horizontal="center" vertical="bottom" textRotation="0" wrapText="false" indent="0" shrinkToFit="false"/>
      <protection locked="true" hidden="true"/>
    </xf>
    <xf numFmtId="168" fontId="16" fillId="6" borderId="68" xfId="0" applyFont="true" applyBorder="true" applyAlignment="true" applyProtection="true">
      <alignment horizontal="left" vertical="bottom" textRotation="0" wrapText="false" indent="0" shrinkToFit="false"/>
      <protection locked="true" hidden="true"/>
    </xf>
    <xf numFmtId="164" fontId="13" fillId="6" borderId="68" xfId="0" applyFont="true" applyBorder="true" applyAlignment="true" applyProtection="true">
      <alignment horizontal="left" vertical="bottom" textRotation="0" wrapText="false" indent="0" shrinkToFit="false"/>
      <protection locked="true" hidden="true"/>
    </xf>
    <xf numFmtId="164" fontId="28" fillId="6" borderId="69" xfId="0" applyFont="true" applyBorder="true" applyAlignment="true" applyProtection="true">
      <alignment horizontal="right" vertical="bottom" textRotation="0" wrapText="false" indent="0" shrinkToFit="false"/>
      <protection locked="true" hidden="true"/>
    </xf>
    <xf numFmtId="168" fontId="0" fillId="3" borderId="35" xfId="0" applyFont="false" applyBorder="true" applyAlignment="false" applyProtection="true">
      <alignment horizontal="general" vertical="bottom" textRotation="0" wrapText="false" indent="0" shrinkToFit="false"/>
      <protection locked="true" hidden="true"/>
    </xf>
    <xf numFmtId="168" fontId="0" fillId="3" borderId="0" xfId="0" applyFont="false" applyBorder="true" applyAlignment="false" applyProtection="true">
      <alignment horizontal="general" vertical="bottom" textRotation="0" wrapText="false" indent="0" shrinkToFit="false"/>
      <protection locked="true" hidden="true"/>
    </xf>
    <xf numFmtId="168" fontId="28" fillId="3" borderId="0" xfId="0" applyFont="true" applyBorder="false" applyAlignment="false" applyProtection="true">
      <alignment horizontal="general" vertical="bottom" textRotation="0" wrapText="false" indent="0" shrinkToFit="false"/>
      <protection locked="true" hidden="true"/>
    </xf>
    <xf numFmtId="164" fontId="29" fillId="0" borderId="0" xfId="0" applyFont="true" applyBorder="false" applyAlignment="false" applyProtection="true">
      <alignment horizontal="general" vertical="bottom" textRotation="0" wrapText="false" indent="0" shrinkToFit="false"/>
      <protection locked="true" hidden="true"/>
    </xf>
    <xf numFmtId="168" fontId="0" fillId="3" borderId="0" xfId="0" applyFont="false" applyBorder="true" applyAlignment="false" applyProtection="true">
      <alignment horizontal="general" vertical="bottom" textRotation="0" wrapText="false" indent="0" shrinkToFit="false"/>
      <protection locked="true" hidden="true"/>
    </xf>
    <xf numFmtId="164" fontId="0" fillId="5" borderId="12" xfId="0" applyFont="false" applyBorder="true" applyAlignment="true" applyProtection="true">
      <alignment horizontal="center" vertical="bottom" textRotation="0" wrapText="false" indent="0" shrinkToFit="false"/>
      <protection locked="false" hidden="false"/>
    </xf>
    <xf numFmtId="164" fontId="16" fillId="5" borderId="12" xfId="0" applyFont="true" applyBorder="true" applyAlignment="false" applyProtection="true">
      <alignment horizontal="general" vertical="bottom" textRotation="0" wrapText="false" indent="0" shrinkToFit="false"/>
      <protection locked="false" hidden="false"/>
    </xf>
    <xf numFmtId="164" fontId="13" fillId="5" borderId="45" xfId="0" applyFont="true" applyBorder="true" applyAlignment="true" applyProtection="true">
      <alignment horizontal="general" vertical="bottom" textRotation="0" wrapText="false" indent="0" shrinkToFit="false"/>
      <protection locked="false" hidden="false"/>
    </xf>
    <xf numFmtId="167" fontId="13" fillId="5" borderId="69" xfId="0" applyFont="true" applyBorder="true" applyAlignment="true" applyProtection="true">
      <alignment horizontal="general" vertical="bottom" textRotation="0" wrapText="false" indent="0" shrinkToFit="false"/>
      <protection locked="false" hidden="false"/>
    </xf>
    <xf numFmtId="167" fontId="13" fillId="5" borderId="47" xfId="0" applyFont="true" applyBorder="true" applyAlignment="true" applyProtection="true">
      <alignment horizontal="general" vertical="bottom" textRotation="0" wrapText="false" indent="0" shrinkToFit="false"/>
      <protection locked="false" hidden="false"/>
    </xf>
    <xf numFmtId="168" fontId="13" fillId="3" borderId="47" xfId="0" applyFont="true" applyBorder="true" applyAlignment="true" applyProtection="true">
      <alignment horizontal="general" vertical="bottom" textRotation="0" wrapText="false" indent="0" shrinkToFit="false"/>
      <protection locked="true" hidden="true"/>
    </xf>
    <xf numFmtId="168" fontId="13" fillId="8" borderId="51" xfId="0" applyFont="true" applyBorder="true" applyAlignment="true" applyProtection="true">
      <alignment horizontal="general" vertical="bottom" textRotation="0" wrapText="false" indent="0" shrinkToFit="false"/>
      <protection locked="true" hidden="true"/>
    </xf>
    <xf numFmtId="168" fontId="25" fillId="6" borderId="70" xfId="0" applyFont="true" applyBorder="true" applyAlignment="true" applyProtection="true">
      <alignment horizontal="general" vertical="bottom" textRotation="0" wrapText="false" indent="0" shrinkToFit="false"/>
      <protection locked="true" hidden="true"/>
    </xf>
    <xf numFmtId="172" fontId="10" fillId="8" borderId="71" xfId="0" applyFont="true" applyBorder="true" applyAlignment="true" applyProtection="true">
      <alignment horizontal="center" vertical="bottom" textRotation="0" wrapText="false" indent="0" shrinkToFit="false"/>
      <protection locked="true" hidden="true"/>
    </xf>
    <xf numFmtId="168" fontId="16" fillId="6" borderId="71" xfId="0" applyFont="true" applyBorder="true" applyAlignment="true" applyProtection="true">
      <alignment horizontal="left" vertical="bottom" textRotation="0" wrapText="false" indent="0" shrinkToFit="false"/>
      <protection locked="true" hidden="true"/>
    </xf>
    <xf numFmtId="164" fontId="13" fillId="6" borderId="71" xfId="0" applyFont="true" applyBorder="true" applyAlignment="true" applyProtection="true">
      <alignment horizontal="left" vertical="bottom" textRotation="0" wrapText="false" indent="0" shrinkToFit="false"/>
      <protection locked="true" hidden="true"/>
    </xf>
    <xf numFmtId="168" fontId="0" fillId="3" borderId="37" xfId="0" applyFont="false" applyBorder="true" applyAlignment="false" applyProtection="true">
      <alignment horizontal="general" vertical="bottom" textRotation="0" wrapText="false" indent="0" shrinkToFit="false"/>
      <protection locked="true" hidden="true"/>
    </xf>
    <xf numFmtId="164" fontId="0" fillId="6" borderId="71" xfId="0" applyFont="false" applyBorder="true" applyAlignment="true" applyProtection="false">
      <alignment horizontal="general" vertical="bottom" textRotation="0" wrapText="false" indent="0" shrinkToFit="false"/>
      <protection locked="true" hidden="false"/>
    </xf>
    <xf numFmtId="164" fontId="28" fillId="6" borderId="69" xfId="0" applyFont="true" applyBorder="true" applyAlignment="true" applyProtection="false">
      <alignment horizontal="right" vertical="bottom" textRotation="0" wrapText="false" indent="0" shrinkToFit="false"/>
      <protection locked="true" hidden="false"/>
    </xf>
    <xf numFmtId="168" fontId="13" fillId="8" borderId="70" xfId="0" applyFont="true" applyBorder="true" applyAlignment="true" applyProtection="true">
      <alignment horizontal="general" vertical="bottom" textRotation="0" wrapText="false" indent="0" shrinkToFit="false"/>
      <protection locked="true" hidden="true"/>
    </xf>
    <xf numFmtId="164" fontId="7" fillId="0" borderId="0" xfId="0" applyFont="true" applyBorder="true" applyAlignment="true" applyProtection="true">
      <alignment horizontal="center" vertical="center" textRotation="0" wrapText="false" indent="0" shrinkToFit="false"/>
      <protection locked="true" hidden="true"/>
    </xf>
    <xf numFmtId="172" fontId="29" fillId="0" borderId="0" xfId="0" applyFont="tru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13" fillId="5" borderId="57" xfId="0" applyFont="true" applyBorder="true" applyAlignment="true" applyProtection="true">
      <alignment horizontal="general" vertical="bottom" textRotation="0" wrapText="false" indent="0" shrinkToFit="false"/>
      <protection locked="false" hidden="false"/>
    </xf>
    <xf numFmtId="167" fontId="13" fillId="5" borderId="72" xfId="0" applyFont="true" applyBorder="true" applyAlignment="true" applyProtection="true">
      <alignment horizontal="general" vertical="bottom" textRotation="0" wrapText="false" indent="0" shrinkToFit="false"/>
      <protection locked="false" hidden="false"/>
    </xf>
    <xf numFmtId="167" fontId="13" fillId="5" borderId="59" xfId="0" applyFont="true" applyBorder="true" applyAlignment="true" applyProtection="true">
      <alignment horizontal="general" vertical="bottom" textRotation="0" wrapText="false" indent="0" shrinkToFit="false"/>
      <protection locked="false" hidden="false"/>
    </xf>
    <xf numFmtId="168" fontId="13" fillId="3" borderId="59" xfId="0" applyFont="true" applyBorder="true" applyAlignment="true" applyProtection="true">
      <alignment horizontal="general" vertical="bottom" textRotation="0" wrapText="false" indent="0" shrinkToFit="false"/>
      <protection locked="true" hidden="true"/>
    </xf>
    <xf numFmtId="168" fontId="13" fillId="8" borderId="73" xfId="0" applyFont="true" applyBorder="true" applyAlignment="true" applyProtection="true">
      <alignment horizontal="general" vertical="bottom" textRotation="0" wrapText="false" indent="0" shrinkToFit="false"/>
      <protection locked="true" hidden="true"/>
    </xf>
    <xf numFmtId="168" fontId="25" fillId="6" borderId="73" xfId="0" applyFont="true" applyBorder="true" applyAlignment="true" applyProtection="true">
      <alignment horizontal="general" vertical="bottom" textRotation="0" wrapText="false" indent="0" shrinkToFit="false"/>
      <protection locked="true" hidden="true"/>
    </xf>
    <xf numFmtId="172" fontId="10" fillId="8" borderId="74" xfId="0" applyFont="true" applyBorder="true" applyAlignment="true" applyProtection="true">
      <alignment horizontal="center" vertical="bottom" textRotation="0" wrapText="false" indent="0" shrinkToFit="false"/>
      <protection locked="true" hidden="true"/>
    </xf>
    <xf numFmtId="168" fontId="16" fillId="6" borderId="74" xfId="0" applyFont="true" applyBorder="true" applyAlignment="true" applyProtection="true">
      <alignment horizontal="left" vertical="bottom" textRotation="0" wrapText="false" indent="0" shrinkToFit="false"/>
      <protection locked="true" hidden="true"/>
    </xf>
    <xf numFmtId="164" fontId="0" fillId="6" borderId="74" xfId="0" applyFont="false" applyBorder="true" applyAlignment="true" applyProtection="false">
      <alignment horizontal="general" vertical="bottom" textRotation="0" wrapText="false" indent="0" shrinkToFit="false"/>
      <protection locked="true" hidden="false"/>
    </xf>
    <xf numFmtId="164" fontId="28" fillId="6" borderId="72" xfId="0" applyFont="true" applyBorder="true" applyAlignment="true" applyProtection="false">
      <alignment horizontal="right" vertical="bottom" textRotation="0" wrapText="false" indent="0" shrinkToFit="false"/>
      <protection locked="true" hidden="false"/>
    </xf>
    <xf numFmtId="164" fontId="29" fillId="0" borderId="0" xfId="0" applyFont="true" applyBorder="true" applyAlignment="true" applyProtection="true">
      <alignment horizontal="left" vertical="bottom" textRotation="0" wrapText="false" indent="0" shrinkToFit="false"/>
      <protection locked="true" hidden="true"/>
    </xf>
    <xf numFmtId="164" fontId="13" fillId="0" borderId="0" xfId="0" applyFont="true" applyBorder="true" applyAlignment="true" applyProtection="true">
      <alignment horizontal="left" vertical="bottom" textRotation="0" wrapText="false" indent="0" shrinkToFit="false"/>
      <protection locked="true" hidden="true"/>
    </xf>
    <xf numFmtId="164" fontId="16" fillId="3" borderId="35" xfId="0" applyFont="true" applyBorder="true" applyAlignment="false" applyProtection="true">
      <alignment horizontal="general" vertical="bottom" textRotation="0" wrapText="false" indent="0" shrinkToFit="false"/>
      <protection locked="true" hidden="true"/>
    </xf>
    <xf numFmtId="164" fontId="0" fillId="3" borderId="8" xfId="0" applyFont="false" applyBorder="true" applyAlignment="false" applyProtection="true">
      <alignment horizontal="general" vertical="bottom" textRotation="0" wrapText="false" indent="0" shrinkToFit="false"/>
      <protection locked="true" hidden="true"/>
    </xf>
    <xf numFmtId="167" fontId="1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8" fontId="0" fillId="3" borderId="33" xfId="0" applyFont="false" applyBorder="true" applyAlignment="false" applyProtection="true">
      <alignment horizontal="general" vertical="bottom" textRotation="0" wrapText="false" indent="0" shrinkToFit="false"/>
      <protection locked="true" hidden="true"/>
    </xf>
    <xf numFmtId="168" fontId="0" fillId="3" borderId="13" xfId="0" applyFont="false" applyBorder="true" applyAlignment="false" applyProtection="true">
      <alignment horizontal="general" vertical="bottom" textRotation="0" wrapText="false" indent="0" shrinkToFit="false"/>
      <protection locked="true" hidden="true"/>
    </xf>
    <xf numFmtId="166" fontId="0" fillId="3" borderId="13" xfId="0" applyFont="false" applyBorder="true" applyAlignment="false" applyProtection="true">
      <alignment horizontal="general" vertical="bottom" textRotation="0" wrapText="false" indent="0" shrinkToFit="false"/>
      <protection locked="true" hidden="true"/>
    </xf>
    <xf numFmtId="167" fontId="0" fillId="3" borderId="13" xfId="0" applyFont="false" applyBorder="true" applyAlignment="false" applyProtection="true">
      <alignment horizontal="general" vertical="bottom" textRotation="0" wrapText="false" indent="0" shrinkToFit="false"/>
      <protection locked="true" hidden="true"/>
    </xf>
    <xf numFmtId="172" fontId="0" fillId="3" borderId="13" xfId="0" applyFont="false" applyBorder="true" applyAlignment="false" applyProtection="true">
      <alignment horizontal="general" vertical="bottom" textRotation="0" wrapText="false" indent="0" shrinkToFit="false"/>
      <protection locked="true" hidden="true"/>
    </xf>
    <xf numFmtId="167" fontId="0" fillId="3" borderId="0" xfId="0" applyFont="false" applyBorder="false" applyAlignment="false" applyProtection="true">
      <alignment horizontal="general" vertical="bottom" textRotation="0" wrapText="false" indent="0" shrinkToFit="false"/>
      <protection locked="true" hidden="true"/>
    </xf>
    <xf numFmtId="170" fontId="0" fillId="3" borderId="13" xfId="0" applyFont="false" applyBorder="true" applyAlignment="false" applyProtection="true">
      <alignment horizontal="general" vertical="bottom" textRotation="0" wrapText="false" indent="0" shrinkToFit="false"/>
      <protection locked="true" hidden="true"/>
    </xf>
    <xf numFmtId="172" fontId="0" fillId="3" borderId="26" xfId="0" applyFont="false" applyBorder="true" applyAlignment="false" applyProtection="true">
      <alignment horizontal="general" vertical="bottom" textRotation="0" wrapText="false" indent="0" shrinkToFit="false"/>
      <protection locked="true" hidden="true"/>
    </xf>
    <xf numFmtId="172" fontId="0" fillId="3" borderId="0" xfId="0" applyFont="fals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8" fillId="3" borderId="0" xfId="0" applyFont="true" applyBorder="false" applyAlignment="false" applyProtection="true">
      <alignment horizontal="general" vertical="bottom" textRotation="0" wrapText="false" indent="0" shrinkToFit="false"/>
      <protection locked="true" hidden="true"/>
    </xf>
    <xf numFmtId="167" fontId="8" fillId="3" borderId="13" xfId="0" applyFont="true" applyBorder="true" applyAlignment="false" applyProtection="true">
      <alignment horizontal="general" vertical="bottom" textRotation="0" wrapText="false" indent="0" shrinkToFit="false"/>
      <protection locked="true" hidden="tru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22">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FF0000"/>
      </font>
    </dxf>
    <dxf>
      <font>
        <name val="Arial"/>
        <family val="0"/>
        <color rgb="FF339966"/>
      </font>
    </dxf>
    <dxf>
      <font>
        <name val="Arial"/>
        <family val="0"/>
        <color rgb="FF80808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externalLink" Target="externalLinks/externalLink2.xml"/><Relationship Id="rId6"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21</xdr:col>
      <xdr:colOff>19800</xdr:colOff>
      <xdr:row>4</xdr:row>
      <xdr:rowOff>152640</xdr:rowOff>
    </xdr:from>
    <xdr:to>
      <xdr:col>21</xdr:col>
      <xdr:colOff>961200</xdr:colOff>
      <xdr:row>7</xdr:row>
      <xdr:rowOff>128160</xdr:rowOff>
    </xdr:to>
    <xdr:grpSp>
      <xdr:nvGrpSpPr>
        <xdr:cNvPr id="0" name="Group 26"/>
        <xdr:cNvGrpSpPr/>
      </xdr:nvGrpSpPr>
      <xdr:grpSpPr>
        <a:xfrm>
          <a:off x="6908400" y="857520"/>
          <a:ext cx="941400" cy="489960"/>
          <a:chOff x="6908400" y="857520"/>
          <a:chExt cx="941400" cy="489960"/>
        </a:xfrm>
      </xdr:grpSpPr>
    </xdr:grpSp>
    <xdr:clientData/>
  </xdr:twoCellAnchor>
  <xdr:twoCellAnchor editAs="oneCell">
    <xdr:from>
      <xdr:col>21</xdr:col>
      <xdr:colOff>10440</xdr:colOff>
      <xdr:row>2</xdr:row>
      <xdr:rowOff>142920</xdr:rowOff>
    </xdr:from>
    <xdr:to>
      <xdr:col>21</xdr:col>
      <xdr:colOff>957240</xdr:colOff>
      <xdr:row>4</xdr:row>
      <xdr:rowOff>57240</xdr:rowOff>
    </xdr:to>
    <xdr:clientData/>
  </xdr:twoCellAnchor>
  <xdr:twoCellAnchor editAs="oneCell">
    <xdr:from>
      <xdr:col>21</xdr:col>
      <xdr:colOff>10440</xdr:colOff>
      <xdr:row>0</xdr:row>
      <xdr:rowOff>9360</xdr:rowOff>
    </xdr:from>
    <xdr:to>
      <xdr:col>21</xdr:col>
      <xdr:colOff>957240</xdr:colOff>
      <xdr:row>1</xdr:row>
      <xdr:rowOff>66240</xdr:rowOff>
    </xdr:to>
    <xdr:clientData/>
  </xdr:twoCellAnchor>
  <xdr:twoCellAnchor editAs="oneCell">
    <xdr:from>
      <xdr:col>21</xdr:col>
      <xdr:colOff>10440</xdr:colOff>
      <xdr:row>1</xdr:row>
      <xdr:rowOff>66240</xdr:rowOff>
    </xdr:from>
    <xdr:to>
      <xdr:col>21</xdr:col>
      <xdr:colOff>957240</xdr:colOff>
      <xdr:row>2</xdr:row>
      <xdr:rowOff>153000</xdr:rowOff>
    </xdr:to>
    <xdr:clientData/>
  </xdr:twoCellAnchor>
  <xdr:twoCellAnchor editAs="oneCell">
    <xdr:from>
      <xdr:col>22</xdr:col>
      <xdr:colOff>70200</xdr:colOff>
      <xdr:row>0</xdr:row>
      <xdr:rowOff>9360</xdr:rowOff>
    </xdr:from>
    <xdr:to>
      <xdr:col>22</xdr:col>
      <xdr:colOff>1011960</xdr:colOff>
      <xdr:row>2</xdr:row>
      <xdr:rowOff>80640</xdr:rowOff>
    </xdr:to>
    <xdr:grpSp>
      <xdr:nvGrpSpPr>
        <xdr:cNvPr id="1" name="Group 34"/>
        <xdr:cNvGrpSpPr/>
      </xdr:nvGrpSpPr>
      <xdr:grpSpPr>
        <a:xfrm>
          <a:off x="8025480" y="9360"/>
          <a:ext cx="941760" cy="433080"/>
          <a:chOff x="8025480" y="9360"/>
          <a:chExt cx="941760" cy="433080"/>
        </a:xfrm>
      </xdr:grpSpPr>
    </xdr:grpSp>
    <xdr:clientData/>
  </xdr:twoCellAnchor>
  <xdr:twoCellAnchor editAs="oneCell">
    <xdr:from>
      <xdr:col>22</xdr:col>
      <xdr:colOff>70200</xdr:colOff>
      <xdr:row>3</xdr:row>
      <xdr:rowOff>38160</xdr:rowOff>
    </xdr:from>
    <xdr:to>
      <xdr:col>22</xdr:col>
      <xdr:colOff>1017360</xdr:colOff>
      <xdr:row>4</xdr:row>
      <xdr:rowOff>114480</xdr:rowOff>
    </xdr:to>
    <xdr:clientData/>
  </xdr:twoCellAnchor>
  <xdr:twoCellAnchor editAs="oneCell">
    <xdr:from>
      <xdr:col>22</xdr:col>
      <xdr:colOff>70200</xdr:colOff>
      <xdr:row>4</xdr:row>
      <xdr:rowOff>104760</xdr:rowOff>
    </xdr:from>
    <xdr:to>
      <xdr:col>22</xdr:col>
      <xdr:colOff>1017360</xdr:colOff>
      <xdr:row>5</xdr:row>
      <xdr:rowOff>171360</xdr:rowOff>
    </xdr:to>
    <xdr:clientData/>
  </xdr:twoCellAnchor>
  <xdr:twoCellAnchor editAs="oneCell">
    <xdr:from>
      <xdr:col>22</xdr:col>
      <xdr:colOff>70200</xdr:colOff>
      <xdr:row>5</xdr:row>
      <xdr:rowOff>152640</xdr:rowOff>
    </xdr:from>
    <xdr:to>
      <xdr:col>22</xdr:col>
      <xdr:colOff>1017360</xdr:colOff>
      <xdr:row>7</xdr:row>
      <xdr:rowOff>75960</xdr:rowOff>
    </xdr:to>
    <xdr:clientData/>
  </xdr:twoCellAnchor>
  <xdr:twoCellAnchor editAs="oneCell">
    <xdr:from>
      <xdr:col>22</xdr:col>
      <xdr:colOff>70200</xdr:colOff>
      <xdr:row>7</xdr:row>
      <xdr:rowOff>56880</xdr:rowOff>
    </xdr:from>
    <xdr:to>
      <xdr:col>22</xdr:col>
      <xdr:colOff>1017360</xdr:colOff>
      <xdr:row>8</xdr:row>
      <xdr:rowOff>142920</xdr:rowOff>
    </xdr:to>
    <xdr:clientData/>
  </xdr:twoCellAnchor>
  <xdr:twoCellAnchor editAs="oneCell">
    <xdr:from>
      <xdr:col>21</xdr:col>
      <xdr:colOff>986400</xdr:colOff>
      <xdr:row>61</xdr:row>
      <xdr:rowOff>66240</xdr:rowOff>
    </xdr:from>
    <xdr:to>
      <xdr:col>22</xdr:col>
      <xdr:colOff>865800</xdr:colOff>
      <xdr:row>62</xdr:row>
      <xdr:rowOff>161640</xdr:rowOff>
    </xdr:to>
    <xdr:clientData/>
  </xdr:twoCellAnchor>
  <xdr:twoCellAnchor editAs="oneCell">
    <xdr:from>
      <xdr:col>21</xdr:col>
      <xdr:colOff>986400</xdr:colOff>
      <xdr:row>63</xdr:row>
      <xdr:rowOff>75960</xdr:rowOff>
    </xdr:from>
    <xdr:to>
      <xdr:col>22</xdr:col>
      <xdr:colOff>865800</xdr:colOff>
      <xdr:row>65</xdr:row>
      <xdr:rowOff>9360</xdr:rowOff>
    </xdr:to>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05-Eau_Milieux_Aquatiques/57QualiteDesEaux/571ReseauxEauxSuperficielles/ControleSurveillance/RCS_RCO_2010/r&#233;sultats/macrophytes/Calculs_%20IBMR_2010_DREAL_LR_AQUASCOP_lot5_Lozere.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05151900_macrophyt_liste_2010.xls" TargetMode="External"/>
</Relationships>
</file>

<file path=xl/externalLinks/externalLink1.xml><?xml version="1.0" encoding="UTF-8" standalone="yes"?>
<externalLink xmlns="http://schemas.openxmlformats.org/spreadsheetml/2006/main"><externalBook xmlns:r="http://schemas.openxmlformats.org/officeDocument/2006/relationships" r:id="rId1"><sheetNames><sheetName val="accueil"/><sheetName val="notice"/><sheetName val="liste reference"/><sheetName val="Récap."/><sheetName val="modele"/><sheetName val="liste codes réf"/></sheetNames><sheetDataSet><sheetData sheetId="0"></sheetData><sheetData sheetId="1"></sheetData><sheetData sheetId="2"><row r="7"><cell r="A7" t="str"><v>LEP.SPX</v></cell><cell r="B7" t="str"><v>Leptomitus sp.        </v></cell><cell r="C7"><v>0</v></cell><cell r="D7"><v>3</v></cell><cell r="E7" t="str"><v>      </v></cell></row><row r="7"><cell r="M7" t="str"><v>HET</v></cell><cell r="N7"><v>1</v></cell></row><row r="7"><cell r="P7" t="str"><v>IBMR</v></cell></row><row r="8"><cell r="A8" t="str"><v>SPT.SPX</v></cell><cell r="B8" t="str"><v>Sphaerotilus sp.        </v></cell><cell r="C8"><v>0</v></cell><cell r="D8"><v>3</v></cell><cell r="E8" t="str"><v>      </v></cell></row><row r="8"><cell r="M8" t="str"><v>HET</v></cell><cell r="N8"><v>1</v></cell></row><row r="8"><cell r="P8" t="str"><v>IBMR</v></cell></row><row r="9"><cell r="B9" t="str"><v>- ALGUES -</v></cell></row><row r="9"><cell r="E9" t="str"><v>      </v></cell></row><row r="9"><cell r="M9" t="str"><v>AL</v></cell><cell r="N9"><v>1.9</v></cell></row><row r="9"><cell r="P9" t="str"><v>IBMR</v></cell></row><row r="10"><cell r="A10" t="str"><v>ANA.SPX</v></cell><cell r="B10" t="str"><v>Anabaena sp.</v></cell></row><row r="10"><cell r="E10" t="str"><v>Bory de St Vincent   </v></cell></row><row r="10"><cell r="M10" t="str"><v>ALG</v></cell><cell r="N10"><v>2</v></cell></row><row r="11"><cell r="A11" t="str"><v>APH.SPX</v></cell><cell r="B11" t="str"><v>Aphanizomenon sp.</v></cell></row><row r="11"><cell r="E11" t="str"><v>Morren      </v></cell></row><row r="11"><cell r="M11" t="str"><v>ALG</v></cell><cell r="N11"><v>2</v></cell></row><row r="12"><cell r="A12" t="str"><v>AUD.SPX</v></cell><cell r="B12" t="str"><v>Audouinella sp.</v></cell><cell r="C12"><v>13</v></cell><cell r="D12"><v>2</v></cell><cell r="E12" t="str"><v>Bory de St Vincent   </v></cell><cell r="F12" t="str"><v>Chantransia (DC.) Fr.</v></cell><cell r="G12" t="str"><v>Rhodochorton Nägeli pro parte</v></cell></row><row r="12"><cell r="M12" t="str"><v>ALG</v></cell><cell r="N12"><v>2</v></cell></row><row r="12"><cell r="P12" t="str"><v>IBMR</v></cell></row><row r="13"><cell r="A13" t="str"><v>BAN.SPX</v></cell><cell r="B13" t="str"><v>Bangia sp. (B. atropurpurea)</v></cell><cell r="C13"><v>10</v></cell><cell r="D13"><v>2</v></cell><cell r="E13" t="str"><v>Lyngbye      </v></cell><cell r="F13" t="str"><v>Bangia atropurpurea (Roth) C. Agardh</v></cell><cell r="G13" t="str"><v>Conferva atropurpurea Roth</v></cell><cell r="H13" t="str"><v>Bangiella Gaillon</v></cell></row><row r="13"><cell r="M13" t="str"><v>ALG</v></cell><cell r="N13"><v>2</v></cell></row><row r="13"><cell r="P13" t="str"><v>IBMR</v></cell></row><row r="14"><cell r="A14" t="str"><v>BAT.SPX</v></cell><cell r="B14" t="str"><v>Batrachospermum sp. </v></cell><cell r="C14"><v>16</v></cell><cell r="D14"><v>2</v></cell><cell r="E14" t="str"><v>Roth      </v></cell><cell r="F14" t="str"><v>Batrachospermella Gaillon</v></cell><cell r="G14" t="str"><v>Charospermum Link in Nees</v></cell></row><row r="14"><cell r="M14" t="str"><v>ALG</v></cell><cell r="N14"><v>2</v></cell></row><row r="14"><cell r="P14" t="str"><v>IBMR</v></cell></row><row r="15"><cell r="A15" t="str"><v>BIN.SPX</v></cell><cell r="B15" t="str"><v>Binuclearia sp.        </v></cell><cell r="C15"><v>14</v></cell><cell r="D15"><v>2</v></cell><cell r="E15" t="str"><v>Wittrock      </v></cell></row><row r="15"><cell r="M15" t="str"><v>ALG</v></cell><cell r="N15"><v>2</v></cell></row><row r="15"><cell r="P15" t="str"><v>IBMR</v></cell></row><row r="16"><cell r="A16" t="str"><v>CHE.SPX</v></cell><cell r="B16" t="str"><v>Chaetophora sp.</v></cell><cell r="C16"><v>12</v></cell><cell r="D16"><v>2</v></cell><cell r="E16" t="str"><v>Schrank      </v></cell></row><row r="16"><cell r="M16" t="str"><v>ALG</v></cell><cell r="N16"><v>2</v></cell></row><row r="16"><cell r="P16" t="str"><v>IBMR</v></cell></row><row r="17"><cell r="A17" t="str"><v>CHA.ACU</v></cell><cell r="B17" t="str"><v>Chara aculeolata</v></cell></row><row r="17"><cell r="E17" t="str"><v>Kützing      </v></cell><cell r="F17" t="str"><v>Chara pedunculata Kûtz.</v></cell><cell r="G17" t="str"><v>Chara polyacantha A. Braun</v></cell></row><row r="17"><cell r="M17" t="str"><v>ALG</v></cell><cell r="N17"><v>2</v></cell></row><row r="18"><cell r="A18" t="str"><v>CHA.ASP</v></cell><cell r="B18" t="str"><v>Chara aspera</v></cell></row><row r="18"><cell r="E18" t="str"><v>Deth. Ex Wild.    </v></cell><cell r="F18" t="str"><v>Chara delicatula Desv. non Agardh </v></cell></row><row r="18"><cell r="M18" t="str"><v>ALG</v></cell><cell r="N18"><v>2</v></cell></row><row r="19"><cell r="A19" t="str"><v>CHA.BRA</v></cell><cell r="B19" t="str"><v>Chara braunii</v></cell></row><row r="19"><cell r="E19" t="str"><v>C.C.Gmelin</v></cell></row><row r="19"><cell r="M19" t="str"><v>ALG</v></cell><cell r="N19"><v>2</v></cell></row><row r="20"><cell r="A20" t="str"><v>CHA.CAN</v></cell><cell r="B20" t="str"><v>Chara canescens</v></cell></row><row r="20"><cell r="E20" t="str"><v>Desv. & Lois    </v></cell></row><row r="20"><cell r="M20" t="str"><v>ALG</v></cell><cell r="N20"><v>2</v></cell></row><row r="21"><cell r="A21" t="str"><v>CHA.CON</v></cell><cell r="B21" t="str"><v>Chara contraria      </v></cell></row><row r="21"><cell r="E21" t="str"><v>A. Braun     </v></cell></row><row r="21"><cell r="M21" t="str"><v>ALG</v></cell><cell r="N21"><v>2</v></cell></row><row r="22"><cell r="A22" t="str"><v>CHA.GLO</v></cell><cell r="B22" t="str"><v>Chara globularis        </v></cell><cell r="C22"><v>13</v></cell><cell r="D22"><v>1</v></cell><cell r="E22" t="str"><v>Thuill.      </v></cell><cell r="F22" t="str"><v>Chara fragilis Desv.</v></cell></row><row r="22"><cell r="M22" t="str"><v>ALG</v></cell><cell r="N22"><v>2</v></cell></row><row r="22"><cell r="P22" t="str"><v>IBMR</v></cell></row><row r="23"><cell r="A23" t="str"><v>CHA.HIS</v></cell><cell r="B23" t="str"><v>Chara hispida </v></cell><cell r="C23"><v>15</v></cell><cell r="D23"><v>2</v></cell><cell r="E23" t="str"><v>(L.) Vaillant</v></cell></row><row r="23"><cell r="M23" t="str"><v>ALG</v></cell><cell r="N23"><v>2</v></cell></row><row r="23"><cell r="P23" t="str"><v>IBMR</v></cell></row><row r="24"><cell r="A24" t="str"><v>CHA.INT</v></cell><cell r="B24" t="str"><v>Chara intermedia</v></cell></row><row r="24"><cell r="E24" t="str"><v>A. Braun     </v></cell></row><row r="24"><cell r="M24" t="str"><v>ALG</v></cell><cell r="N24"><v>2</v></cell></row><row r="25"><cell r="A25" t="str"><v>CHA.SPX</v></cell><cell r="B25" t="str"><v>Chara sp. </v></cell></row><row r="25"><cell r="E25" t="str"><v>L. ex Vaillant    </v></cell></row><row r="25"><cell r="M25" t="str"><v>ALG</v></cell><cell r="N25"><v>2</v></cell></row><row r="26"><cell r="A26" t="str"><v>CHA.VUL</v></cell><cell r="B26" t="str"><v>Chara vulgaris    </v></cell><cell r="C26"><v>13</v></cell><cell r="D26"><v>1</v></cell><cell r="E26" t="str"><v>L.      </v></cell><cell r="F26" t="str"><v>Chara foetida A. Braun</v></cell></row><row r="26"><cell r="M26" t="str"><v>ALG</v></cell><cell r="N26"><v>2</v></cell></row><row r="26"><cell r="P26" t="str"><v>IBMR</v></cell></row><row r="27"><cell r="A27" t="str"><v>CHA.GYM</v></cell><cell r="B27" t="str"><v>Chara vulgaris var. gymnophylla  (C. gymnophylla) </v></cell></row><row r="27"><cell r="E27" t="str"><v>A. Braun     </v></cell><cell r="F27" t="str"><v>Chara gymnophylla A. Braun</v></cell></row><row r="27"><cell r="M27" t="str"><v>ALG</v></cell><cell r="N27"><v>2</v></cell></row><row r="28"><cell r="A28" t="str"><v>CHL.SPX</v></cell><cell r="B28" t="str"><v>Chlorhormidium sp.        </v></cell></row><row r="28"><cell r="E28" t="str"><v>Fott      </v></cell></row><row r="28"><cell r="M28" t="str"><v>ALG</v></cell><cell r="N28"><v>2</v></cell></row><row r="29"><cell r="A29" t="str"><v>CHO.SPX</v></cell><cell r="B29" t="str"><v>Chlorotylium sp</v></cell></row><row r="29"><cell r="E29" t="str"><v>Kützing      </v></cell></row><row r="29"><cell r="M29" t="str"><v>ALG</v></cell><cell r="N29"><v>2</v></cell></row><row r="30"><cell r="A30" t="str"><v>CLA.SPX</v></cell><cell r="B30" t="str"><v>Cladophora sp. </v></cell><cell r="C30"><v>6</v></cell><cell r="D30"><v>1</v></cell><cell r="E30" t="str"><v>Kützing      </v></cell></row><row r="30"><cell r="M30" t="str"><v>ALG</v></cell><cell r="N30"><v>2</v></cell></row><row r="30"><cell r="P30" t="str"><v>IBMR</v></cell></row><row r="31"><cell r="A31" t="str"><v>COM.SPX</v></cell><cell r="B31" t="str"><v>Compsopogon sp.</v></cell></row><row r="31"><cell r="E31" t="str"><v>Mont.  emend. Rintoul, Sheath et Vis</v></cell><cell r="F31" t="str"><v>Pericystis J. Agardh</v></cell></row><row r="31"><cell r="M31" t="str"><v>ALG</v></cell><cell r="N31"><v>2</v></cell></row><row r="32"><cell r="A32" t="str"><v>CYL.SPX</v></cell><cell r="B32" t="str"><v>Cylindrospermum sp.</v></cell></row><row r="32"><cell r="E32" t="str"><v>Kützing      </v></cell></row><row r="32"><cell r="M32" t="str"><v>ALG</v></cell><cell r="N32"><v>2</v></cell></row><row r="33"><cell r="A33" t="str"><v>DIA.SPX</v></cell><cell r="B33" t="str"><v>Diatoma sp.</v></cell><cell r="C33"><v>12</v></cell><cell r="D33"><v>2</v></cell><cell r="E33" t="str"><v>Bory de St Vincent   </v></cell></row><row r="33"><cell r="M33" t="str"><v>ALG</v></cell><cell r="N33"><v>2</v></cell></row><row r="33"><cell r="P33" t="str"><v>IBMR</v></cell></row><row r="34"><cell r="A34" t="str"><v>DRA.SPX</v></cell><cell r="B34" t="str"><v>Draparnaldia sp.  </v></cell><cell r="C34"><v>18</v></cell><cell r="D34"><v>3</v></cell><cell r="E34" t="str"><v>Bory de St Vincent   </v></cell></row><row r="34"><cell r="M34" t="str"><v>ALG</v></cell><cell r="N34"><v>2</v></cell></row><row r="34"><cell r="P34" t="str"><v>IBMR</v></cell></row><row r="35"><cell r="A35" t="str"><v>ENT.SPX</v></cell><cell r="B35" t="str"><v>Enteromorpha intestinalis</v></cell><cell r="C35"><v>3</v></cell><cell r="D35"><v>2</v></cell><cell r="E35" t="str"><v>(L.) Nees</v></cell><cell r="F35" t="str"><v>Enteromorpha compressa (L.) Greville</v></cell><cell r="G35" t="str"><v>Ulva intestinalis L.</v></cell></row><row r="35"><cell r="M35" t="str"><v>ALG</v></cell><cell r="N35"><v>2</v></cell></row><row r="35"><cell r="P35" t="str"><v>IBMR</v></cell></row><row r="36"><cell r="A36" t="str"><v>HER.SPX</v></cell><cell r="B36" t="str"><v>Heribaudiella sp.</v></cell></row><row r="36"><cell r="E36" t="str"><v>Gomont      </v></cell></row><row r="36"><cell r="M36" t="str"><v>ALG</v></cell><cell r="N36"><v>2</v></cell></row><row r="37"><cell r="A37" t="str"><v>HIL.SPX</v></cell><cell r="B37" t="str"><v>Hildenbrandia rivularis</v></cell><cell r="C37"><v>15</v></cell><cell r="D37"><v>2</v></cell><cell r="E37" t="str"><v>(Liebm.) J.Agardh</v></cell><cell r="F37" t="str"><v>Erythroclathrus rivularis Liebm.</v></cell></row><row r="37"><cell r="M37" t="str"><v>ALG</v></cell><cell r="N37"><v>2</v></cell></row><row r="37"><cell r="P37" t="str"><v>IBMR</v></cell></row><row r="38"><cell r="A38" t="str"><v>HOM.SPX</v></cell><cell r="B38" t="str"><v>Homeothrix sp.</v></cell></row><row r="38"><cell r="E38" t="str"><v>(Thuret) Kirchner (janthina)</v></cell></row><row r="38"><cell r="M38" t="str"><v>ALG</v></cell><cell r="N38"><v>2</v></cell></row><row r="39"><cell r="A39" t="str"><v>HYI.SPX</v></cell><cell r="B39" t="str"><v>Hydrodictyon reticulatum</v></cell><cell r="C39"><v>6</v></cell><cell r="D39"><v>2</v></cell><cell r="E39" t="str"><v>Roth      </v></cell></row><row r="39"><cell r="M39" t="str"><v>ALG</v></cell><cell r="N39"><v>2</v></cell></row><row r="39"><cell r="P39" t="str"><v>IBMR</v></cell></row><row r="40"><cell r="A40" t="str"><v>HYU.SPX</v></cell><cell r="B40" t="str"><v>Hydrurus foetidus</v></cell><cell r="C40"><v>16</v></cell><cell r="D40"><v>2</v></cell><cell r="E40" t="str"><v>C. Agardh     </v></cell></row><row r="40"><cell r="M40" t="str"><v>ALG</v></cell><cell r="N40"><v>2</v></cell></row><row r="40"><cell r="P40" t="str"><v>IBMR</v></cell></row><row r="41"><cell r="A41" t="str"><v>LEA.SPX</v></cell><cell r="B41" t="str"><v>Lemanea gr. fluviatilis</v></cell><cell r="C41"><v>15</v></cell><cell r="D41"><v>2</v></cell><cell r="E41" t="str"><v>(L.) C.Agardh</v></cell><cell r="F41" t="str"><v>Conferva fluviatilis  L.</v></cell></row><row r="41"><cell r="M41" t="str"><v>ALG</v></cell><cell r="N41"><v>2</v></cell></row><row r="41"><cell r="P41" t="str"><v>IBMR</v></cell></row><row r="42"><cell r="A42" t="str"><v>LYN.SPX</v></cell><cell r="B42" t="str"><v>Lyngbya sp.</v></cell><cell r="C42"><v>10</v></cell><cell r="D42"><v>2</v></cell><cell r="E42" t="str"><v>C. Agardh     </v></cell></row><row r="42"><cell r="M42" t="str"><v>ALG</v></cell><cell r="N42"><v>2</v></cell></row><row r="42"><cell r="P42" t="str"><v>IBMR</v></cell></row><row r="43"><cell r="A43" t="str"><v>MEL.SPX</v></cell><cell r="B43" t="str"><v>Melosira sp.</v></cell><cell r="C43"><v>10</v></cell><cell r="D43"><v>1</v></cell><cell r="E43" t="str"><v>C. Agardh     </v></cell></row><row r="43"><cell r="M43" t="str"><v>ALG</v></cell><cell r="N43"><v>2</v></cell></row><row r="43"><cell r="P43" t="str"><v>IBMR</v></cell></row><row r="44"><cell r="A44" t="str"><v>MER.SPX</v></cell><cell r="B44" t="str"><v>Merismopedia sp.</v></cell></row><row r="44"><cell r="E44" t="str"><v>Meyen</v></cell><cell r="F44" t="str"><v>Agmenellum Bréb.</v></cell></row><row r="44"><cell r="M44" t="str"><v>ALG</v></cell><cell r="N44"><v>2</v></cell></row><row r="45"><cell r="A45" t="str"><v>MIR.SPX</v></cell><cell r="B45" t="str"><v>Microcoleus sp.</v></cell></row><row r="45"><cell r="E45" t="str"><v>Desmazières      </v></cell></row><row r="45"><cell r="M45" t="str"><v>ALG</v></cell><cell r="N45"><v>2</v></cell></row><row r="46"><cell r="A46" t="str"><v>MIO.AER</v></cell><cell r="B46" t="str"><v>Microscystis aeruginosa</v></cell></row><row r="46"><cell r="E46" t="str"><v>Kütz. em. Elenkin</v></cell><cell r="F46" t="str"><v>Microcystis flos-aquae (Wittr.) Kirchn.</v></cell></row><row r="46"><cell r="M46" t="str"><v>ALG</v></cell><cell r="N46"><v>2</v></cell></row><row r="47"><cell r="A47" t="str"><v>MIO.SPX</v></cell><cell r="B47" t="str"><v>Microscystis sp.</v></cell></row><row r="47"><cell r="E47" t="str"><v>Kützing      </v></cell></row><row r="47"><cell r="M47" t="str"><v>ALG</v></cell><cell r="N47"><v>2</v></cell></row><row r="48"><cell r="A48" t="str"><v>MIC.SPX</v></cell><cell r="B48" t="str"><v>Microspora sp.</v></cell><cell r="C48"><v>12</v></cell><cell r="D48"><v>2</v></cell><cell r="E48" t="str"><v>Thuret      </v></cell></row><row r="48"><cell r="M48" t="str"><v>ALG</v></cell><cell r="N48"><v>2</v></cell></row><row r="48"><cell r="P48" t="str"><v>IBMR</v></cell></row><row r="49"><cell r="A49" t="str"><v>MOO.SPX</v></cell><cell r="B49" t="str"><v>Monostroma sp.</v></cell><cell r="C49"><v>13</v></cell><cell r="D49"><v>2</v></cell><cell r="E49" t="str"><v>Thuret      </v></cell></row><row r="49"><cell r="M49" t="str"><v>ALG</v></cell><cell r="N49"><v>2</v></cell></row><row r="49"><cell r="P49" t="str"><v>IBMR</v></cell></row><row r="50"><cell r="A50" t="str"><v>MOU.SPX</v></cell><cell r="B50" t="str"><v>Mougeotia sp.</v></cell><cell r="C50"><v>13</v></cell><cell r="D50"><v>2</v></cell><cell r="E50" t="str"><v>C. Agardh     </v></cell></row><row r="50"><cell r="M50" t="str"><v>ALG</v></cell><cell r="N50"><v>2</v></cell></row><row r="50"><cell r="P50" t="str"><v>IBMR</v></cell></row><row r="51"><cell r="A51" t="str"><v>NIT.CAP</v></cell><cell r="B51" t="str"><v>Nitella capillaris</v></cell></row><row r="51"><cell r="E51" t="str"><v>(Krok.) J. groves & Bullock Webster </v></cell></row><row r="51"><cell r="M51" t="str"><v>ALG</v></cell><cell r="N51"><v>2</v></cell></row><row r="52"><cell r="A52" t="str"><v>NIT.FLE</v></cell><cell r="B52" t="str"><v>Nitella flexilis</v></cell><cell r="C52"><v>14</v></cell><cell r="D52"><v>2</v></cell><cell r="E52" t="str"><v>L., Agardh     </v></cell><cell r="F52" t="str"><v>Chara flexilis L.</v></cell><cell r="G52" t="str"><v>Nitella opaca (Bruzelius) C.Agardh</v></cell></row><row r="52"><cell r="M52" t="str"><v>ALG</v></cell><cell r="N52"><v>2</v></cell></row><row r="52"><cell r="P52" t="str"><v>IBMR</v></cell></row><row r="53"><cell r="A53" t="str"><v>NIT.GRA</v></cell><cell r="B53" t="str"><v>Nitella gracilis</v></cell><cell r="C53"><v>14</v></cell><cell r="D53"><v>2</v></cell><cell r="E53" t="str"><v>(Smith) Agardh     </v></cell><cell r="F53" t="str"><v>Chara gracilis Sm.</v></cell></row><row r="53"><cell r="M53" t="str"><v>ALG</v></cell><cell r="N53"><v>2</v></cell></row><row r="53"><cell r="P53" t="str"><v>IBMR</v></cell></row><row r="54"><cell r="A54" t="str"><v>NIT.MUC</v></cell><cell r="B54" t="str"><v>Nitella mucronata</v></cell><cell r="C54"><v>14</v></cell><cell r="D54"><v>2</v></cell><cell r="E54" t="str"><v>(A. Braun) Miquel    </v></cell><cell r="F54" t="str"><v>Chara mucronata A. Braun</v></cell><cell r="G54" t="str"><v>Nitella furcata subsp mucronata (A.Braun) R.D.Wood</v></cell></row><row r="54"><cell r="M54" t="str"><v>ALG</v></cell><cell r="N54"><v>2</v></cell></row><row r="54"><cell r="P54" t="str"><v>IBMR</v></cell></row><row r="55"><cell r="A55" t="str"><v>NIT.OPA</v></cell><cell r="B55" t="str"><v>Nitella opaca</v></cell></row><row r="55"><cell r="E55" t="str"><v>(Bruzelius) C.Agardh</v></cell><cell r="F55" t="str"><v>Chara opaca Bruzelius.</v></cell></row><row r="55"><cell r="M55" t="str"><v>ALG</v></cell><cell r="N55"><v>2</v></cell></row><row r="56"><cell r="A56" t="str"><v>NIT.SPX</v></cell><cell r="B56" t="str"><v>Nitella sp.      </v></cell></row><row r="56"><cell r="E56" t="str"><v>C. Agardh     </v></cell></row><row r="56"><cell r="M56" t="str"><v>ALG</v></cell><cell r="N56"><v>2</v></cell></row><row r="57"><cell r="A57" t="str"><v>NIT.TEN</v></cell><cell r="B57" t="str"><v>Nitella tenuissima</v></cell></row><row r="57"><cell r="E57" t="str"><v>(Desv.) Kütz.</v></cell><cell r="F57" t="str"><v>Chara tenuissima Desv.</v></cell></row><row r="57"><cell r="M57" t="str"><v>ALG</v></cell><cell r="N57"><v>2</v></cell></row><row r="58"><cell r="A58" t="str"><v>NIT.TRA</v></cell><cell r="B58" t="str"><v>Nitella translucens</v></cell></row><row r="58"><cell r="E58" t="str"><v>(Pers.) Agardh     </v></cell><cell r="F58" t="str"><v>Chara translucens Pers.</v></cell></row><row r="58"><cell r="M58" t="str"><v>ALG</v></cell><cell r="N58"><v>2</v></cell></row><row r="59"><cell r="A59" t="str"><v>NIE.OBT</v></cell><cell r="B59" t="str"><v>Nitellopsis obtusa</v></cell></row><row r="59"><cell r="E59" t="str"><v>(Desv.) J. Groves    </v></cell><cell r="F59" t="str"><v>Chara obtusa Desv.</v></cell></row><row r="59"><cell r="M59" t="str"><v>ALG</v></cell><cell r="N59"><v>2</v></cell></row><row r="60"><cell r="A60" t="str"><v>NIE.SPX</v></cell><cell r="B60" t="str"><v>Nitellopsis sp.</v></cell></row><row r="60"><cell r="E60" t="str"><v>Hy</v></cell></row><row r="60"><cell r="M60" t="str"><v>ALG</v></cell><cell r="N60"><v>2</v></cell></row><row r="61"><cell r="A61" t="str"><v>NOS.SPX</v></cell><cell r="B61" t="str"><v>Nostoc sp.       </v></cell><cell r="C61"><v>9</v></cell><cell r="D61"><v>1</v></cell><cell r="E61" t="str"><v>Vaucher      </v></cell></row><row r="61"><cell r="M61" t="str"><v>ALG</v></cell><cell r="N61"><v>2</v></cell></row><row r="61"><cell r="P61" t="str"><v>IBMR</v></cell></row><row r="62"><cell r="A62" t="str"><v>OED.SPX</v></cell><cell r="B62" t="str"><v>Oedogonium sp.</v></cell><cell r="C62"><v>6</v></cell><cell r="D62"><v>2</v></cell><cell r="E62" t="str"><v>Link      </v></cell></row><row r="62"><cell r="M62" t="str"><v>ALG</v></cell><cell r="N62"><v>2</v></cell></row><row r="62"><cell r="P62" t="str"><v>IBMR</v></cell></row><row r="63"><cell r="A63" t="str"><v>OSC.SPX</v></cell><cell r="B63" t="str"><v>Oscillatoria sp.       </v></cell><cell r="C63"><v>11</v></cell><cell r="D63"><v>1</v></cell><cell r="E63" t="str"><v>Vaucher      </v></cell></row><row r="63"><cell r="M63" t="str"><v>ALG</v></cell><cell r="N63"><v>2</v></cell></row><row r="63"><cell r="P63" t="str"><v>IBMR</v></cell></row><row r="64"><cell r="A64" t="str"><v>PHO.SPX</v></cell><cell r="B64" t="str"><v>Phormidium sp.</v></cell><cell r="C64"><v>13</v></cell><cell r="D64"><v>2</v></cell><cell r="E64" t="str"><v>Kützing      </v></cell></row><row r="64"><cell r="M64" t="str"><v>ALG</v></cell><cell r="N64"><v>2</v></cell></row><row r="64"><cell r="P64" t="str"><v>IBMR</v></cell></row><row r="65"><cell r="A65" t="str"><v>PLE.SPX</v></cell><cell r="B65" t="str"><v>Plectonema sp.       </v></cell></row><row r="65"><cell r="E65" t="str"><v>Thuret      </v></cell></row><row r="65"><cell r="M65" t="str"><v>ALG</v></cell><cell r="N65"><v>2</v></cell></row><row r="66"><cell r="A66" t="str"><v>PSE.SPX</v></cell><cell r="B66" t="str"><v>Pseudanabaena sp.</v></cell></row><row r="66"><cell r="E66" t="str"><v>Lauterborn      </v></cell></row><row r="66"><cell r="M66" t="str"><v>ALG</v></cell><cell r="N66"><v>2</v></cell></row><row r="67"><cell r="A67" t="str"><v>PSU.SPX</v></cell><cell r="B67" t="str"><v>Pseudendoclonium sp.       </v></cell></row><row r="67"><cell r="E67" t="str"><v>Wille      </v></cell></row><row r="67"><cell r="M67" t="str"><v>ALG</v></cell><cell r="N67"><v>2</v></cell></row><row r="68"><cell r="A68" t="str"><v>RAD.SPX</v></cell><cell r="B68" t="str"><v>Radiofilum sp.       </v></cell></row><row r="68"><cell r="E68" t="str"><v>Scmidle      </v></cell></row><row r="68"><cell r="M68" t="str"><v>ALG</v></cell><cell r="N68"><v>2</v></cell></row><row r="69"><cell r="A69" t="str"><v>RHI.SPX</v></cell><cell r="B69" t="str"><v>Rhizoclonium sp.       </v></cell><cell r="C69"><v>4</v></cell><cell r="D69"><v>2</v></cell><cell r="E69" t="str"><v>Kützing      </v></cell></row><row r="69"><cell r="M69" t="str"><v>ALG</v></cell><cell r="N69"><v>2</v></cell></row><row r="69"><cell r="P69" t="str"><v>IBMR</v></cell></row><row r="70"><cell r="A70" t="str"><v>RIV.SPX</v></cell><cell r="B70" t="str"><v>Rivularia sp.       </v></cell></row><row r="70"><cell r="E70" t="str"><v>Roth.      </v></cell></row><row r="70"><cell r="M70" t="str"><v>ALG</v></cell><cell r="N70"><v>2</v></cell></row><row r="71"><cell r="A71" t="str"><v>SCH.SPX</v></cell><cell r="B71" t="str"><v>Schizomeris sp.</v></cell><cell r="C71"><v>1</v></cell><cell r="D71"><v>3</v></cell><cell r="E71" t="str"><v>Kützing      </v></cell></row><row r="71"><cell r="M71" t="str"><v>ALG</v></cell><cell r="N71"><v>2</v></cell></row><row r="71"><cell r="P71" t="str"><v>IBMR</v></cell></row><row r="72"><cell r="A72" t="str"><v>SCZ.SPX</v></cell><cell r="B72" t="str"><v>Schizothrix sp.       </v></cell></row><row r="72"><cell r="E72" t="str"><v>Kützing      </v></cell></row><row r="72"><cell r="M72" t="str"><v>ALG</v></cell><cell r="N72"><v>2</v></cell></row><row r="73"><cell r="A73" t="str"><v>SCY.SPX</v></cell><cell r="B73" t="str"><v>Scytonema sp.</v></cell></row><row r="73"><cell r="E73" t="str"><v>C. Agardh      </v></cell></row><row r="73"><cell r="M73" t="str"><v>ALG</v></cell><cell r="N73"><v>2</v></cell></row><row r="74"><cell r="A74" t="str"><v>SIR.SPX</v></cell><cell r="B74" t="str"><v>Sirogonium sp.</v></cell><cell r="C74"><v>12</v></cell><cell r="D74"><v>2</v></cell><cell r="E74" t="str"><v>Kützing      </v></cell></row><row r="74"><cell r="M74" t="str"><v>ALG</v></cell><cell r="N74"><v>2</v></cell></row><row r="74"><cell r="P74" t="str"><v>IBMR</v></cell></row><row r="75"><cell r="A75" t="str"><v>SPE.SPX</v></cell><cell r="B75" t="str"><v>Sphaerocystis sp.       </v></cell></row><row r="75"><cell r="E75" t="str"><v>Chodat      </v></cell></row><row r="75"><cell r="M75" t="str"><v>ALG</v></cell><cell r="N75"><v>2</v></cell></row><row r="76"><cell r="A76" t="str"><v>SPI.SPX</v></cell><cell r="B76" t="str"><v>Spirogyra sp.       </v></cell><cell r="C76"><v>10</v></cell><cell r="D76"><v>1</v></cell><cell r="E76" t="str"><v>Link      </v></cell></row><row r="76"><cell r="M76" t="str"><v>ALG</v></cell><cell r="N76"><v>2</v></cell></row><row r="76"><cell r="P76" t="str"><v>IBMR</v></cell></row><row r="77"><cell r="A77" t="str"><v>SPU.SPX</v></cell><cell r="B77" t="str"><v>Spirulina sp.</v></cell></row><row r="77"><cell r="E77" t="str"><v>(Turpin) Gomont</v></cell></row><row r="77"><cell r="M77" t="str"><v>ALG</v></cell><cell r="N77"><v>2</v></cell></row><row r="78"><cell r="A78" t="str"><v>STI.SPX</v></cell><cell r="B78" t="str"><v>Stigeoclonium sp.</v></cell><cell r="C78"><v>13</v></cell><cell r="D78"><v>2</v></cell><cell r="E78" t="str"><v>Kützing      </v></cell><cell r="F78" t="str"><v>Myxonema Fries</v></cell><cell r="G78" t="str"><v>Caespitella Vischer</v></cell></row><row r="78"><cell r="M78" t="str"><v>ALG</v></cell><cell r="N78"><v>2</v></cell></row><row r="78"><cell r="P78" t="str"><v>IBMR</v></cell></row><row r="79"><cell r="A79" t="str"><v>STI.TEN</v></cell><cell r="B79" t="str"><v>Stigeoclonium tenue       </v></cell><cell r="C79"><v>1</v></cell><cell r="D79"><v>3</v></cell><cell r="E79" t="str"><v>Kützing      </v></cell><cell r="F79" t="str"><v>Stigeoclonium uniforme (C.Agardh) Rabenh.</v></cell></row><row r="79"><cell r="M79" t="str"><v>ALG</v></cell><cell r="N79"><v>2</v></cell></row><row r="79"><cell r="P79" t="str"><v>IBMR</v></cell></row><row r="80"><cell r="A80" t="str"><v>TET.SPX</v></cell><cell r="B80" t="str"><v>Tetraspora sp.       </v></cell><cell r="C80"><v>12</v></cell><cell r="D80"><v>1</v></cell><cell r="E80" t="str"><v>Link      </v></cell></row><row r="80"><cell r="M80" t="str"><v>ALG</v></cell><cell r="N80"><v>2</v></cell></row><row r="80"><cell r="P80" t="str"><v>IBMR</v></cell></row><row r="81"><cell r="A81" t="str"><v>THO.SPX</v></cell><cell r="B81" t="str"><v>Thorea hispida (T. ramossissima)</v></cell><cell r="C81"><v>14</v></cell><cell r="D81"><v>3</v></cell><cell r="E81" t="str"><v>(Thore) Desv.</v></cell><cell r="F81" t="str"><v>Conferva hispida  Thore</v></cell><cell r="G81" t="str"><v>Thorea andina Lagerh. et K.Möbius</v></cell></row><row r="81"><cell r="M81" t="str"><v>ALG</v></cell><cell r="N81"><v>2</v></cell></row><row r="81"><cell r="P81" t="str"><v>IBMR</v></cell></row><row r="82"><cell r="A82" t="str"><v>TOL.GLO</v></cell><cell r="B82" t="str"><v>Tolypella glomerata</v></cell><cell r="C82"><v>12</v></cell><cell r="D82"><v>2</v></cell><cell r="E82" t="str"><v>(Desv.) Leonh.</v></cell><cell r="F82" t="str"><v>Chara glomerata Desv.</v></cell></row><row r="82"><cell r="M82" t="str"><v>ALG</v></cell><cell r="N82"><v>2</v></cell></row><row r="82"><cell r="P82" t="str"><v>IBMR</v></cell></row><row r="83"><cell r="A83" t="str"><v>TOL.INT</v></cell><cell r="B83" t="str"><v>Tolypella intricata</v></cell></row><row r="83"><cell r="E83" t="str"><v>(Trentep. ex Roth.) Leonh.</v></cell><cell r="F83" t="str"><v>Chara intricata Trentep. ex Roth</v></cell></row><row r="83"><cell r="M83" t="str"><v>ALG</v></cell><cell r="N83"><v>2</v></cell></row><row r="84"><cell r="A84" t="str"><v>TOL.PRO</v></cell><cell r="B84" t="str"><v>Tolypella prolifera</v></cell><cell r="C84"><v>15</v></cell><cell r="D84"><v>3</v></cell><cell r="E84" t="str"><v>(Ziz ex A.Braun) Leonh.</v></cell><cell r="F84" t="str"><v>Chara prolifera Ziz  ex A.Braun</v></cell></row><row r="84"><cell r="M84" t="str"><v>ALG</v></cell><cell r="N84"><v>2</v></cell></row><row r="84"><cell r="P84" t="str"><v>IBMR</v></cell></row><row r="85"><cell r="A85" t="str"><v>TOL.SPX</v></cell><cell r="B85" t="str"><v>Tolypella sp.</v></cell></row><row r="85"><cell r="E85" t="str"><v>(A.Braun) A.Braun</v></cell></row><row r="85"><cell r="M85" t="str"><v>ALG</v></cell><cell r="N85"><v>2</v></cell></row><row r="86"><cell r="A86" t="str"><v>TOY.SPX</v></cell><cell r="B86" t="str"><v>Tolypothrix sp.</v></cell></row><row r="86"><cell r="E86" t="str"><v>Kützing      </v></cell></row><row r="86"><cell r="M86" t="str"><v>ALG</v></cell><cell r="N86"><v>2</v></cell></row><row r="87"><cell r="A87" t="str"><v>TRI.SPX</v></cell><cell r="B87" t="str"><v>Tribonema sp.</v></cell><cell r="C87"><v>11</v></cell><cell r="D87"><v>2</v></cell><cell r="E87" t="str"><v>Derbès & Solier    </v></cell></row><row r="87"><cell r="M87" t="str"><v>ALG</v></cell><cell r="N87"><v>2</v></cell></row><row r="87"><cell r="P87" t="str"><v>IBMR</v></cell></row><row r="88"><cell r="A88" t="str"><v>ULO.SPX</v></cell><cell r="B88" t="str"><v>Ulothrix sp.       </v></cell><cell r="C88"><v>10</v></cell><cell r="D88"><v>1</v></cell><cell r="E88" t="str"><v>Kützing      </v></cell><cell r="F88" t="str"><v>Personiella F.E.Fritsch et M.F.Rich</v></cell></row><row r="88"><cell r="M88" t="str"><v>ALG</v></cell><cell r="N88"><v>2</v></cell></row><row r="88"><cell r="P88" t="str"><v>IBMR</v></cell></row><row r="89"><cell r="A89" t="str"><v>VAU.SPX</v></cell><cell r="B89" t="str"><v>Vaucheria sp.</v></cell><cell r="C89"><v>4</v></cell><cell r="D89"><v>1</v></cell><cell r="E89" t="str"><v>de Candolle     </v></cell></row><row r="89"><cell r="M89" t="str"><v>ALG</v></cell><cell r="N89"><v>2</v></cell></row><row r="89"><cell r="P89" t="str"><v>IBMR</v></cell></row><row r="90"><cell r="A90" t="str"><v>ZYG.SPX</v></cell><cell r="B90" t="str"><v>Zygnema sp.       </v></cell><cell r="C90"><v>13</v></cell><cell r="D90"><v>3</v></cell><cell r="E90" t="str"><v>C. Agardh     </v></cell></row><row r="90"><cell r="M90" t="str"><v>ALG</v></cell><cell r="N90"><v>2</v></cell></row><row r="90"><cell r="P90" t="str"><v>IBMR</v></cell></row><row r="91"><cell r="B91" t="str"><v>- LICHENS -</v></cell></row><row r="91"><cell r="E91" t="str"><v>      </v></cell></row><row r="91"><cell r="M91" t="str"><v>LI</v></cell><cell r="N91"><v>2.9</v></cell></row><row r="91"><cell r="P91" t="str"><v>IBMR</v></cell></row><row r="92"><cell r="A92" t="str"><v>COL.FLU</v></cell><cell r="B92" t="str"><v>Collema fluviatile</v></cell><cell r="C92"><v>17</v></cell><cell r="D92"><v>3</v></cell><cell r="E92" t="str"><v>      </v></cell></row><row r="92"><cell r="M92" t="str"><v>LIC</v></cell><cell r="N92"><v>3</v></cell></row><row r="92"><cell r="P92" t="str"><v>IBMR</v></cell></row><row r="93"><cell r="A93" t="str"><v>COL.SPX</v></cell><cell r="B93" t="str"><v>Collema sp.</v></cell></row><row r="93"><cell r="E93" t="str"><v>      </v></cell></row><row r="93"><cell r="M93" t="str"><v>LIC</v></cell><cell r="N93"><v>3</v></cell></row><row r="94"><cell r="A94" t="str"><v>DER.SPX</v></cell><cell r="B94" t="str"><v>Dermatocarpon sp.</v></cell></row><row r="94"><cell r="E94" t="str"><v>      </v></cell></row><row r="94"><cell r="M94" t="str"><v>LIC</v></cell><cell r="N94"><v>3</v></cell></row><row r="95"><cell r="A95" t="str"><v>DER.WEB</v></cell><cell r="B95" t="str"><v>Dermatocarpon weberi</v></cell><cell r="C95"><v>16</v></cell><cell r="D95"><v>3</v></cell><cell r="E95" t="str"><v>      </v></cell></row><row r="95"><cell r="M95" t="str"><v>LIC</v></cell><cell r="N95"><v>3</v></cell></row><row r="95"><cell r="P95" t="str"><v>IBMR</v></cell></row><row r="96"><cell r="B96" t="str"><v>- BRYOPHYTES -</v></cell></row><row r="96"><cell r="E96" t="str"><v>      </v></cell></row><row r="96"><cell r="M96" t="str"><v>BR</v></cell><cell r="N96"><v>3.8</v></cell></row><row r="96"><cell r="P96" t="str"><v>IBMR</v></cell></row><row r="97"><cell r="B97" t="str"><v>- HEPATIQUES</v></cell></row><row r="97"><cell r="E97" t="str"><v>      </v></cell></row><row r="97"><cell r="M97" t="str"><v>BR</v></cell><cell r="N97"><v>4</v></cell></row><row r="97"><cell r="P97" t="str"><v>IBMR</v></cell></row><row r="98"><cell r="A98" t="str"><v>ANE.PIN</v></cell><cell r="B98" t="str"><v>Aneura pinguis (Riccardia pinguis)</v></cell><cell r="C98"><v>14</v></cell><cell r="D98"><v>2</v></cell><cell r="E98" t="str"><v>(L.) Dumort.    </v></cell><cell r="F98" t="str"><v>Riccardia pinguis (L.) Gray</v></cell><cell r="G98" t="str"><v>Jungermannia pinguis L.</v></cell></row><row r="98"><cell r="M98" t="str"><v>BRh</v></cell><cell r="N98"><v>4</v></cell></row><row r="98"><cell r="P98" t="str"><v>IBMR</v></cell></row><row r="99"><cell r="A99" t="str"><v>CAY.ARG</v></cell><cell r="B99" t="str"><v>Calypogeia arguta</v></cell></row><row r="99"><cell r="E99" t="str"><v>Nees & Mont.    </v></cell><cell r="F99" t="str"><v>Cincinnulus argutus (Nees & Mont.) Dumort.</v></cell><cell r="G99" t="str"><v>Kantia arguta (Nees & Mont.) Lindb.</v></cell></row><row r="99"><cell r="M99" t="str"><v>BRh</v></cell><cell r="N99"><v>4</v></cell></row><row r="100"><cell r="A100" t="str"><v>CAY.FIS</v></cell><cell r="B100" t="str"><v>Calypogeia fissa</v></cell></row><row r="100"><cell r="E100" t="str"><v> (L.) Raddi       </v></cell><cell r="F100" t="str"><v>Mnium fissum L.</v></cell><cell r="G100" t="str"><v>Jungermannia calypogeia Raddi</v></cell><cell r="H100" t="str"><v>Jungermannia fissa Scop.</v></cell><cell r="I100" t="str"><v>Jungermannia sprengelii Mart.</v></cell><cell r="J100" t="str"><v>Kantia calypogeia Lindb.</v></cell><cell r="K100" t="str"><v>Kantia sprengelii Pearson</v></cell></row><row r="100"><cell r="M100" t="str"><v>BRh</v></cell><cell r="N100"><v>4</v></cell></row><row r="101"><cell r="A101" t="str"><v>CAY.SPX</v></cell><cell r="B101" t="str"><v>Calypogeia sp.</v></cell></row><row r="101"><cell r="E101" t="str"><v>Raddi</v></cell></row><row r="101"><cell r="M101" t="str"><v>BRh</v></cell><cell r="N101"><v>4</v></cell></row><row r="102"><cell r="A102" t="str"><v>CHI.COA</v></cell><cell r="B102" t="str"><v>Chiloscyphus coadunatus</v></cell></row><row r="102"><cell r="E102" t="str"><v>(Sw.) J.J. engel & R.M. Schust.</v></cell><cell r="F102" t="str"><v>Lophocolea bidentata (L.) Dumort.</v></cell><cell r="G102" t="str"><v>Lophocolea alata (Nees) Schiffn.</v></cell><cell r="H102" t="str"><v>Lophocolea cuspidata (Nees) Limpr.</v></cell><cell r="I102" t="str"><v>Chiloscyphus cuspidatus (Nees) J.J. Engel & R.M. Schust.</v></cell><cell r="J102" t="str"><v>Chiloscyphus latifolius (Nees) J.J. Engel & R.M. Schust.</v></cell><cell r="K102" t="str"><v>Jungermannia coadunata Sw.</v></cell><cell r="L102" t="str"><v>Jungermannia bidentata L.</v></cell><cell r="M102" t="str"><v>BRh</v></cell><cell r="N102"><v>4</v></cell></row><row r="103"><cell r="A103" t="str"><v>CHI.PAL</v></cell><cell r="B103" t="str"><v>Chiloscyphus pallescens</v></cell><cell r="C103"><v>14</v></cell><cell r="D103"><v>2</v></cell><cell r="E103" t="str"><v>(Ehrh. ex Hoffm.) Dumort.   </v></cell><cell r="F103" t="str"><v>Chiloscyphus polyanthos var. pallescens (Ehrh. ex Hoffm.) C. Hartm.</v></cell><cell r="G103" t="str"><v>Chiloscyphus polyanthos var. fragilis (Roth.) Müll. Frib.</v></cell><cell r="H103" t="str"><v>Jungermannia pallescens Ehrh. ex Hoffm.</v></cell></row><row r="103"><cell r="M103" t="str"><v>BRh</v></cell><cell r="N103"><v>4</v></cell></row><row r="103"><cell r="P103" t="str"><v>IBMR</v></cell></row><row r="104"><cell r="A104" t="str"><v>CHI.POL</v></cell><cell r="B104" t="str"><v>Chiloscyphus polyanthos var. polyanthos (C. polyanthos)</v></cell><cell r="C104"><v>15</v></cell><cell r="D104"><v>2</v></cell><cell r="E104" t="str"><v>L. Corda</v></cell><cell r="F104" t="str"><v>Chiloscyphus polyanthos var. rivularis (Schrad.) Nees</v></cell><cell r="G104" t="str"><v>Chiloscyphus polyanthos var. polyanthos fo. rivularis L. Corda </v></cell><cell r="H104" t="str"><v>Jungermannia polyanthos L.</v></cell></row><row r="104"><cell r="M104" t="str"><v>BRh</v></cell><cell r="N104"><v>4</v></cell></row><row r="104"><cell r="P104" t="str"><v>IBMR</v></cell></row><row r="105"><cell r="A105" t="str"><v>CHI.SPX</v></cell><cell r="B105" t="str"><v>Chiloscyphus sp.</v></cell></row><row r="105"><cell r="E105" t="str"><v>Corda</v></cell></row><row r="105"><cell r="M105" t="str"><v>BRh</v></cell><cell r="N105"><v>4</v></cell></row><row r="106"><cell r="A106" t="str"><v>CON.CON</v></cell><cell r="B106" t="str"><v>Conocephalum conicum</v></cell></row><row r="106"><cell r="E106" t="str"><v>(L.) Dumort.     </v></cell><cell r="F106" t="str"><v>Marchantia conica L.</v></cell><cell r="G106" t="str"><v>Conocephalum Kiaeri (Kaal.) Grolle</v></cell><cell r="H106" t="str"><v>Conocephalum officinale Trevis</v></cell><cell r="I106" t="str"><v>Conocephalum trioicum F. Weber</v></cell><cell r="J106" t="str"><v>Fegatella conica (L.) Corda</v></cell><cell r="K106" t="str"><v>Fegatella officinalis Raddi</v></cell></row><row r="106"><cell r="M106" t="str"><v>BRh</v></cell><cell r="N106"><v>4</v></cell></row><row r="107"><cell r="A107" t="str"><v>DUM.HIR</v></cell><cell r="B107" t="str"><v>Dumortiera hirsuta</v></cell></row><row r="107"><cell r="E107" t="str"><v>(Sw.) Nees     </v></cell><cell r="F107" t="str"><v>Marchantia hirsuta Sw.</v></cell><cell r="G107" t="str"><v>Dumortiera irrigua (Taylor) Nees</v></cell><cell r="H107" t="str"><v>Hygrophila irrigua Taylor</v></cell><cell r="I107" t="str"><v>Marchantia irrigua (Taylor) Wilson</v></cell></row><row r="107"><cell r="M107" t="str"><v>BRh</v></cell><cell r="N107"><v>4</v></cell></row><row r="108"><cell r="A108" t="str"><v>JUG.ATR</v></cell><cell r="B108" t="str"><v>Jungermannia atrovirens (Solenostoma triste)</v></cell><cell r="C108"><v>19</v></cell><cell r="D108"><v>3</v></cell><cell r="E108" t="str"><v>Dumort.      </v></cell><cell r="F108" t="str"><v>Jungermannia lanceolata L.</v></cell><cell r="G108" t="str"><v>Jungermannia tristis Nees</v></cell><cell r="H108" t="str"><v>Jungermannia riparia Taylor</v></cell><cell r="I108" t="str"><v>Solenostoma atrovirens (Dumort.) Müll. Frib. non Steph.</v></cell><cell r="J108" t="str"><v>Solenostoma triste (Nees) Müll. Frib.</v></cell><cell r="K108" t="str"><v>Aplozia atrovirens (Dumort.) Dumort.</v></cell><cell r="L108" t="str"><v>Aplozia tristis (Nees.) Dumort.</v></cell><cell r="M108" t="str"><v>BRh</v></cell><cell r="N108"><v>4</v></cell></row><row r="108"><cell r="P108" t="str"><v>IBMR</v></cell></row><row r="109"><cell r="A109" t="str"><v>JUG.EXE</v></cell><cell r="B109" t="str"><v>Jungermannia exsertifolia subsp. cordifolia</v></cell></row><row r="109"><cell r="E109" t="str"><v>(Dumort.) Vana    </v></cell><cell r="F109" t="str"><v>Jungermannia cordifolia Hook. non Broth. nec Ehrh. ex F. Weber</v></cell><cell r="G109" t="str"><v>Jungermannia eucordifolia Schljakov</v></cell><cell r="H109" t="str"><v>Solenostoma cordifolium (Dumort.) Steph.</v></cell><cell r="I109" t="str"><v>Aplozia cordifolia Dumort.</v></cell><cell r="J109" t="str"><v>Haplozia cordifolia (Dumort.) Müll. Frib.</v></cell></row><row r="109"><cell r="M109" t="str"><v>BRh</v></cell><cell r="N109"><v>4</v></cell></row><row r="110"><cell r="A110" t="str"><v>JUG.GRA</v></cell><cell r="B110" t="str"><v>Jungermannia gracillima (Solenostoma crenulatum)</v></cell><cell r="C110"><v>20</v></cell><cell r="D110"><v>3</v></cell><cell r="E110" t="str"><v>Sm.      </v></cell><cell r="F110" t="str"><v>Jungermannia crenulata Sm. non Schmidel</v></cell><cell r="G110" t="str"><v>Solenostoma crenulatum Mitt.</v></cell><cell r="H110" t="str"><v>Solenostoma gracillima (Sm.) R.M. Schust.</v></cell><cell r="I110" t="str"><v>Aplozia crenulata (Mitt.) Lindb.</v></cell><cell r="J110" t="str"><v>Aplozia gracillima (Sm.) Dumort.</v></cell><cell r="K110" t="str"><v>Nardia gracillima (Sm.) Lindb.</v></cell></row><row r="110"><cell r="M110" t="str"><v>BRh</v></cell><cell r="N110"><v>4</v></cell></row><row r="110"><cell r="P110" t="str"><v>IBMR</v></cell></row><row r="111"><cell r="A111" t="str"><v>JUG.OBO</v></cell><cell r="B111" t="str"><v>Jungermannia obovata</v></cell></row><row r="111"><cell r="E111" t="str"><v>Nees      </v></cell><cell r="F111" t="str"><v>Jungermannia flaccida Huebener</v></cell><cell r="G111" t="str"><v>Solenostoma obovatum (Nees) C. Massal.</v></cell><cell r="H111" t="str"><v>Mesophylla obovata (Nees) Corbière</v></cell><cell r="I111" t="str"><v>Nardia obovata (Nees) Lindb.</v></cell><cell r="J111" t="str"><v>Plectocolea obovata (Nees) Lindb.</v></cell><cell r="K111" t="str"><v>Aplozia obovata (Nees.) Loeske</v></cell><cell r="L111" t="str"><v>Eucalyx obovata (Nees) Carrington</v></cell><cell r="M111" t="str"><v>BRh</v></cell><cell r="N111"><v>4</v></cell></row><row r="112"><cell r="A112" t="str"><v>JUG.PUM</v></cell><cell r="B112" t="str"><v>Jungermannia pumila       </v></cell></row><row r="112"><cell r="E112" t="str"><v>With.</v></cell><cell r="F112" t="str"><v>Jungermannia karl-muelleri Grolle</v></cell><cell r="G112" t="str"><v>Jungermannia rostellata Huebener</v></cell><cell r="H112" t="str"><v>Jungermannia zeyheri Huebener</v></cell><cell r="I112" t="str"><v>Solenostoma pumilum (With.) Müll. Frib.</v></cell><cell r="J112" t="str"><v>Solenostoma oblongifolium (Müll. Frib.) Müll. Frib.</v></cell><cell r="K112" t="str"><v>Aplozia pumila (With.) Dumort.</v></cell><cell r="L112" t="str"><v>Aplozia oblongifolia (Müll. Frib.) Jörg.</v></cell><cell r="M112" t="str"><v>BRh</v></cell><cell r="N112"><v>4</v></cell></row><row r="113"><cell r="A113" t="str"><v>JUG.SPX</v></cell><cell r="B113" t="str"><v>Jungermannia sp.        </v></cell></row><row r="113"><cell r="E113" t="str"><v>L.</v></cell></row><row r="113"><cell r="M113" t="str"><v>BRh</v></cell><cell r="N113"><v>4</v></cell></row><row r="114"><cell r="A114" t="str"><v>JUG.SPH</v></cell><cell r="B114" t="str"><v>Jungermannia sphaerocarpa</v></cell></row><row r="114"><cell r="E114" t="str"><v>Hook.     </v></cell><cell r="F114" t="str"><v>Jungermannia amplexicaulis Dumort.</v></cell><cell r="G114" t="str"><v>Jungermannia lurida Dumort.</v></cell><cell r="H114" t="str"><v>Jungermannia nana Nees</v></cell><cell r="I114" t="str"><v>Jungermannia tersa Nees</v></cell><cell r="J114" t="str"><v>Solenostoma amplexicaule (Dumort.) Steph.</v></cell><cell r="K114" t="str"><v>Solenostoma sphaerocarpum (Hook.) Steph.</v></cell><cell r="L114" t="str"><v>Aplozia amplexicaulis (Dumort.) Dumort.</v></cell><cell r="M114" t="str"><v>BRh</v></cell><cell r="N114"><v>4</v></cell></row><row r="115"><cell r="A115" t="str"><v>LEJ.SPX</v></cell><cell r="B115" t="str"><v>Lejeunea sp.   </v></cell></row><row r="115"><cell r="E115" t="str"><v>Lib.</v></cell><cell r="F115" t="str"><v>Microlejeunea sp. Steph.</v></cell></row><row r="115"><cell r="M115" t="str"><v>BRh</v></cell><cell r="N115"><v>4</v></cell></row><row r="116"><cell r="A116" t="str"><v>LUN.CRU</v></cell><cell r="B116" t="str"><v>Lunularia cruciata</v></cell></row><row r="116"><cell r="E116" t="str"><v>(L.) Lindb.     </v></cell><cell r="F116" t="str"><v>Lunularia vulgaris Mich.</v></cell><cell r="G116" t="str"><v>Lunularia michelii Le Jolis</v></cell><cell r="H116" t="str"><v>Marchantia cruciata L.</v></cell><cell r="I116" t="str"><v>Marchantia dillenii Le Jolis</v></cell><cell r="J116" t="str"><v>Dichominum cruciatum (L.) Trevis.</v></cell><cell r="K116" t="str"><v>Preissia cucullata Mont. & Ness</v></cell><cell r="L116" t="str"><v>Staurophora pulchella Willd.</v></cell><cell r="M116" t="str"><v>BRh</v></cell><cell r="N116"><v>4</v></cell></row><row r="117"><cell r="A117" t="str"><v>MAC.PAL</v></cell><cell r="B117" t="str"><v>Marchantia paleacea       </v></cell></row><row r="117"><cell r="E117" t="str"><v>Bertol.</v></cell></row><row r="117"><cell r="M117" t="str"><v>BRh</v></cell><cell r="N117"><v>4</v></cell></row><row r="118"><cell r="A118" t="str"><v>MAC.POL</v></cell><cell r="B118" t="str"><v>Marchantia polymorpha      </v></cell></row><row r="118"><cell r="E118" t="str"><v>L.      </v></cell><cell r="F118" t="str"><v>Marchantia alpestris (Nees) Burgeff</v></cell><cell r="G118" t="str"><v>Marchantia aquatica (Nees) Burgeff</v></cell><cell r="H118" t="str"><v>Marchantia vittata Raddi</v></cell></row><row r="118"><cell r="M118" t="str"><v>BRh</v></cell><cell r="N118"><v>4</v></cell></row><row r="119"><cell r="A119" t="str"><v>MAC.SPX</v></cell><cell r="B119" t="str"><v>Marchantia sp.</v></cell></row><row r="119"><cell r="E119" t="str"><v>L.      </v></cell></row><row r="119"><cell r="M119" t="str"><v>BRh</v></cell><cell r="N119"><v>4</v></cell></row><row r="120"><cell r="A120" t="str"><v>MAR.AQU</v></cell><cell r="B120" t="str"><v>Marsupella emarginata var. aquatica (M. aquatica)</v></cell><cell r="C120"><v>19</v></cell><cell r="D120"><v>2</v></cell><cell r="E120" t="str"><v>(Lindenb.) Dumort. </v></cell><cell r="F120" t="str"><v>Marsupella aquatica (Lindenb.) Schiffn. </v></cell><cell r="G120" t="str"><v>Marsupella robusta (De Not.) A. Evans</v></cell><cell r="H120" t="str"><v>Sarcoscyphus emarginatus var. aquatica Nees</v></cell><cell r="I120" t="str"><v>Scarcoscyphus Ehrartii var. robustus De Not.</v></cell><cell r="J120" t="str"><v>Jungermannia aquatica Schrader</v></cell><cell r="K120" t="str"><v>Jungermannia emarginata var. aquatica Lindenb.</v></cell></row><row r="120"><cell r="M120" t="str"><v>BRh</v></cell><cell r="N120"><v>4</v></cell></row><row r="120"><cell r="P120" t="str"><v>IBMR</v></cell></row><row r="121"><cell r="A121" t="str"><v>MAR.EMA</v></cell><cell r="B121" t="str"><v>Marsupella emarginata var. emarginata (M. emarginata)</v></cell><cell r="C121"><v>20</v></cell><cell r="D121"><v>3</v></cell><cell r="E121" t="str"><v>(Ehrh.) Dumort.</v></cell><cell r="F121" t="str"><v>Marsupella emarginata (Ehrh.) Dumort.      </v></cell><cell r="G121" t="str"><v>Sarcoscyphus emarginatus (Ehrh.) C. Hartm.</v></cell><cell r="H121" t="str"><v>Jungermannia emarginata Ehrh.</v></cell></row><row r="121"><cell r="M121" t="str"><v>BRh</v></cell><cell r="N121"><v>4</v></cell></row><row r="121"><cell r="P121" t="str"><v>IBMR</v></cell></row><row r="122"><cell r="A122" t="str"><v>MAR.SPX</v></cell><cell r="B122" t="str"><v>Marsupella sp.        </v></cell></row><row r="122"><cell r="E122" t="str"><v>Dumort.      </v></cell></row><row r="122"><cell r="M122" t="str"><v>BRh</v></cell><cell r="N122"><v>4</v></cell></row><row r="123"><cell r="A123" t="str"><v>MAR.SPH</v></cell><cell r="B123" t="str"><v>Marsupella sphacelata</v></cell></row><row r="123"><cell r="E123" t="str"><v>(Gieseke ex Lindenb.) Dumort.</v></cell><cell r="F123" t="str"><v>Marsupella erythrorhiza Schiffn.</v></cell><cell r="G123" t="str"><v>Marsupella joergensenii Schiffn.</v></cell><cell r="H123" t="str"><v>Marsupella sullivantii (De Not.) A. Evans.</v></cell><cell r="I123" t="str"><v>Jungermannia sphacelata Giesecke ex Lindenb.</v></cell><cell r="J123" t="str"><v>Nardia sphacelata (Gieseke ex Lindenb.) Carrington</v></cell><cell r="K123" t="str"><v>Sarcoscyphus sphacelatus (Gieseke ex Lindenb.) Nees</v></cell><cell r="L123" t="str"><v>Sarcoscyphus sullivantii De Not.</v></cell><cell r="M123" t="str"><v>BRh</v></cell><cell r="N123"><v>4</v></cell></row><row r="124"><cell r="A124" t="str"><v>NAR.COM</v></cell><cell r="B124" t="str"><v>Nardia compressa</v></cell><cell r="C124"><v>20</v></cell><cell r="D124"><v>3</v></cell><cell r="E124" t="str"><v>(Hook.) S.F. Gray     </v></cell><cell r="F124" t="str"><v>Alicularia compressa (Hook.) Gottsche et al.</v></cell><cell r="G124" t="str"><v>Alicularia pachyphylla De Not.</v></cell><cell r="H124" t="str"><v>Jungermannia compressa Hook.</v></cell></row><row r="124"><cell r="M124" t="str"><v>BRh</v></cell><cell r="N124"><v>4</v></cell></row><row r="124"><cell r="P124" t="str"><v>IBMR</v></cell></row><row r="125"><cell r="A125" t="str"><v>NAR.SCA</v></cell><cell r="B125" t="str"><v>Nardia scalaris (N. acicularis )</v></cell><cell r="C125"><v>20</v></cell><cell r="D125"><v>3</v></cell><cell r="E125" t="str"><v>S.F. Gray     </v></cell><cell r="F125" t="str"><v>Nardia acicularis</v></cell><cell r="G125" t="str"><v>Alicularia scalaris (Gray) Corda</v></cell><cell r="H125" t="str"><v>Alicularia rotaeana De Not.</v></cell><cell r="I125" t="str"><v>Mesophylla rotaeana (De Not.) Dumort.</v></cell><cell r="J125" t="str"><v>Mesophylla scalaris (Gray) Dumort.</v></cell></row><row r="125"><cell r="M125" t="str"><v>BRh</v></cell><cell r="N125"><v>4</v></cell></row><row r="125"><cell r="P125" t="str"><v>IBMR</v></cell></row><row r="126"><cell r="A126" t="str"><v>NAR.SPX</v></cell><cell r="B126" t="str"><v>Nardia sp.        </v></cell></row><row r="126"><cell r="E126" t="str"><v>Gray</v></cell></row><row r="126"><cell r="M126" t="str"><v>BRh</v></cell><cell r="N126"><v>4</v></cell></row><row r="127"><cell r="A127" t="str"><v>PEL.END</v></cell><cell r="B127" t="str"><v>Pellia endiviifolia</v></cell></row><row r="127"><cell r="E127" t="str"><v>(Dicks) Dumort.     </v></cell><cell r="F127" t="str"><v>Pellia fabbroniana auct.</v></cell><cell r="G127" t="str"><v>Jungermannia endiviifolia Dicks.</v></cell></row><row r="127"><cell r="M127" t="str"><v>BRh</v></cell><cell r="N127"><v>4</v></cell></row><row r="128"><cell r="A128" t="str"><v>PEL.EPI</v></cell><cell r="B128" t="str"><v>Pellia epiphylla</v></cell></row><row r="128"><cell r="E128" t="str"><v>(L.) Corda     </v></cell><cell r="F128" t="str"><v>Jungermannia epiphylla L.</v></cell><cell r="G128" t="str"><v>Pellia borealis Lorb.</v></cell></row><row r="128"><cell r="M128" t="str"><v>BRh</v></cell><cell r="N128"><v>4</v></cell></row><row r="129"><cell r="A129" t="str"><v>PEL.NEE</v></cell><cell r="B129" t="str"><v>Pellia neesiana</v></cell></row><row r="129"><cell r="E129" t="str"><v>(Gottsche) Limpr.     </v></cell><cell r="F129" t="str"><v>Pellia epiphylla fo. neesiana Gottsche</v></cell></row><row r="129"><cell r="M129" t="str"><v>BRh</v></cell><cell r="N129"><v>4</v></cell></row><row r="130"><cell r="A130" t="str"><v>PEL.SPX</v></cell><cell r="B130" t="str"><v>Pellia sp.</v></cell></row><row r="130"><cell r="E130" t="str"><v>Raddi</v></cell></row><row r="130"><cell r="M130" t="str"><v>BRh</v></cell><cell r="N130"><v>4</v></cell></row><row r="131"><cell r="A131" t="str"><v>PLG.ASP</v></cell><cell r="B131" t="str"><v>Plagiochila asplenioides</v></cell></row><row r="131"><cell r="E131" t="str"><v>(L. emend. Taylor) Dumort.     </v></cell><cell r="F131" t="str"><v>Plagiochila asplenioides var. major Lindenb.</v></cell><cell r="G131" t="str"><v>Plagiochila major (L.) S.W. Arnell</v></cell><cell r="H131" t="str"><v>Jungermannia asplenioides L.</v></cell></row><row r="131"><cell r="M131" t="str"><v>BRh</v></cell><cell r="N131"><v>4</v></cell></row><row r="132"><cell r="A132" t="str"><v>PLG.SPX</v></cell><cell r="B132" t="str"><v>Plagiochila sp.        </v></cell></row><row r="132"><cell r="E132" t="str"><v>Dumort.</v></cell></row><row r="132"><cell r="M132" t="str"><v>BRh</v></cell><cell r="N132"><v>4</v></cell></row><row r="133"><cell r="A133" t="str"><v>POR.COR</v></cell><cell r="B133" t="str"><v>Porella cordaeana</v></cell></row><row r="133"><cell r="E133" t="str"><v>(Huebener) Moore</v></cell><cell r="F133" t="str"><v>Porella denta Lindberg</v></cell><cell r="G133" t="str"><v>Porella rivularis Nees</v></cell><cell r="H133" t="str"><v>Porella cordaeana var. simplicior (Zett.) Lindb.</v></cell><cell r="I133" t="str"><v>Madotheca cordaeana (Huebener) Dumort.</v></cell><cell r="J133" t="str"><v>Madotheca rivularis Nees</v></cell><cell r="K133" t="str"><v>Jungermannia cordaeana Huebener</v></cell></row><row r="133"><cell r="M133" t="str"><v>BRh</v></cell><cell r="N133"><v>4</v></cell></row><row r="134"><cell r="A134" t="str"><v>POR.PIN</v></cell><cell r="B134" t="str"><v>Porella pinnata</v></cell><cell r="C134"><v>12</v></cell><cell r="D134"><v>2</v></cell><cell r="E134" t="str"><v>L.     </v></cell><cell r="F134" t="str"><v>Madotheca porella (Dicks.) Nees</v></cell><cell r="G134" t="str"><v>Jungermannia porella Dicks.</v></cell></row><row r="134"><cell r="M134" t="str"><v>BRh</v></cell><cell r="N134"><v>4</v></cell></row><row r="134"><cell r="P134" t="str"><v>IBMR</v></cell></row><row r="135"><cell r="A135" t="str"><v>POR.SPX</v></cell><cell r="B135" t="str"><v>Porella sp.        </v></cell></row><row r="135"><cell r="E135" t="str"><v>L.     </v></cell></row><row r="135"><cell r="M135" t="str"><v>BRh</v></cell><cell r="N135"><v>4</v></cell></row><row r="136"><cell r="A136" t="str"><v>PRE.QUA</v></cell><cell r="B136" t="str"><v>Preissia quadrata</v></cell></row><row r="136"><cell r="E136" t="str"><v>(Scop.) Nees     </v></cell><cell r="F136" t="str"><v>Preissia commutata Nees</v></cell><cell r="G136" t="str"><v>Preissia hemisphaerica Cogn.</v></cell><cell r="H136" t="str"><v>Marchantia quadrata Scop.</v></cell><cell r="I136" t="str"><v>Conocephalum hemisphaericum Dumort.</v></cell><cell r="J136" t="str"><v>Cyathophora commutata Trevis.</v></cell></row><row r="136"><cell r="M136" t="str"><v>BRh</v></cell><cell r="N136"><v>4</v></cell></row><row r="137"><cell r="A137" t="str"><v>RIC.CHA</v></cell><cell r="B137" t="str"><v>Riccardia chamaedryfolia (R. sinuata)</v></cell><cell r="C137"><v>15</v></cell><cell r="D137"><v>2</v></cell><cell r="E137" t="str"><v>(With.) Grolle</v></cell><cell r="F137" t="str"><v>Riccardia sinuata (Hook.) Trevis</v></cell><cell r="G137" t="str"><v>Aneura pinnatifida Dumort.</v></cell><cell r="H137" t="str"><v>Jungermannia sinuata Dicks.</v></cell><cell r="I137" t="str"><v>Jungermannia chamaedryfolia With.</v></cell></row><row r="137"><cell r="M137" t="str"><v>BRh</v></cell><cell r="N137"><v>4</v></cell></row><row r="137"><cell r="P137" t="str"><v>IBMR</v></cell></row><row r="138"><cell r="A138" t="str"><v>RIC.MUL</v></cell><cell r="B138" t="str"><v>Riccardia multifida        </v></cell><cell r="C138"><v>15</v></cell><cell r="D138"><v>2</v></cell><cell r="E138" t="str"><v>(L.) Gray    </v></cell><cell r="F138" t="str"><v>Aneura multifida (L.) Dumort.</v></cell><cell r="G138" t="str"><v>Jungermannia multifida L.</v></cell><cell r="H138" t="str"><v>Roemeria multifida (L.) Raddi</v></cell></row><row r="138"><cell r="M138" t="str"><v>BRh</v></cell><cell r="N138"><v>4</v></cell></row><row r="138"><cell r="P138" t="str"><v>IBMR</v></cell></row><row r="139"><cell r="A139" t="str"><v>RIC.SPX</v></cell><cell r="B139" t="str"><v>Riccardia sp.        </v></cell></row><row r="139"><cell r="E139" t="str"><v>Gray</v></cell></row><row r="139"><cell r="M139" t="str"><v>BRh</v></cell><cell r="N139"><v>4</v></cell></row><row r="140"><cell r="A140" t="str"><v>RII.FLU</v></cell><cell r="B140" t="str"><v>Riccia fluitans</v></cell><cell r="C140"><v>8</v></cell><cell r="D140"><v>3</v></cell><cell r="E140" t="str"><v>L.      </v></cell><cell r="F140" t="str"><v>Ricciella fluitans (L.) A. Braun</v></cell><cell r="G140" t="str"><v>Riciella centrifuga Arnell</v></cell></row><row r="140"><cell r="M140" t="str"><v>BRh</v></cell><cell r="N140"><v>4</v></cell></row><row r="140"><cell r="P140" t="str"><v>IBMR</v></cell></row><row r="141"><cell r="A141" t="str"><v>RII.HUE</v></cell><cell r="B141" t="str"><v>Riccia huebeneriana</v></cell></row><row r="141"><cell r="E141" t="str"><v>Lindenb.      </v></cell><cell r="F141" t="str"><v>Ricciella huebeneriana (Lindenb.) Dumort.</v></cell><cell r="G141" t="str"><v>Ricciella pseudofrostii Schiffn. ex Müll. Frib.</v></cell></row><row r="141"><cell r="M141" t="str"><v>BRh</v></cell><cell r="N141"><v>4</v></cell></row><row r="142"><cell r="A142" t="str"><v>RII.RHE</v></cell><cell r="B142" t="str"><v>Riccia rhenana       </v></cell></row><row r="142"><cell r="E142" t="str"><v>Lorb.     </v></cell></row><row r="142"><cell r="M142" t="str"><v>BRh</v></cell><cell r="N142"><v>4</v></cell></row><row r="143"><cell r="A143" t="str"><v>RII.SPX</v></cell><cell r="B143" t="str"><v>Riccia sp.        </v></cell></row><row r="143"><cell r="E143" t="str"><v>L.</v></cell></row><row r="143"><cell r="M143" t="str"><v>BRh</v></cell><cell r="N143"><v>4</v></cell></row><row r="144"><cell r="A144" t="str"><v>RIO.NAT</v></cell><cell r="B144" t="str"><v>Ricciocarpos natans</v></cell></row><row r="144"><cell r="E144" t="str"><v>(L.) Corda     </v></cell><cell r="F144" t="str"><v>Riccia natans L.</v></cell><cell r="G144" t="str"><v>Riccia capillata Schmidel</v></cell><cell r="H144" t="str"><v>Riccia velutina Wilson</v></cell><cell r="I144" t="str"><v>Ricciocarpos velutinus (Wilson) Steph.</v></cell></row><row r="144"><cell r="M144" t="str"><v>BRh</v></cell><cell r="N144"><v>4</v></cell></row><row r="145"><cell r="A145" t="str"><v>SAO.VIT</v></cell><cell r="B145" t="str"><v>Saccogyna viticulosa</v></cell></row><row r="145"><cell r="E145" t="str"><v>(L.) Dumort.     </v></cell><cell r="F145" t="str"><v>Jungermannia viticulosa L.</v></cell></row><row r="145"><cell r="M145" t="str"><v>BRh</v></cell><cell r="N145"><v>4</v></cell></row><row r="146"><cell r="A146" t="str"><v>SCA.NEM</v></cell><cell r="B146" t="str"><v>Scapania nemorea</v></cell></row><row r="146"><cell r="E146" t="str"><v>(L.) Grolle     </v></cell><cell r="F146" t="str"><v>Scapania nemorosa (L.) Dumort.</v></cell><cell r="G146" t="str"><v>Scapania joergensenii Schiffn.</v></cell><cell r="H146" t="str"><v>Jungermannia nemorea L.</v></cell><cell r="I146" t="str"><v>Martinella nemorosa (Dumort.) Lindb.</v></cell></row><row r="146"><cell r="M146" t="str"><v>BRh</v></cell><cell r="N146"><v>4</v></cell></row><row r="147"><cell r="A147" t="str"><v>SCA.PAI</v></cell><cell r="B147" t="str"><v>Scapania paludicola</v></cell></row><row r="147"><cell r="E147" t="str"><v>Loeske & Müll. Frib.   </v></cell><cell r="F147" t="str"><v>Scapania rotundata Warnst.</v></cell><cell r="G147" t="str"><v>Martinellia paludicola (Loeske &  Müll. Frib.) C.E.O. Jensen</v></cell></row><row r="147"><cell r="M147" t="str"><v>BRh</v></cell><cell r="N147"><v>4</v></cell></row><row r="148"><cell r="A148" t="str"><v>SCA.PAL</v></cell><cell r="B148" t="str"><v>Scapania paludosa</v></cell><cell r="C148"><v>20</v></cell><cell r="D148"><v>3</v></cell><cell r="E148" t="str"><v>(Müll. Frib.) Müll. Frib.</v></cell><cell r="F148" t="str"><v>Scapania undulata var. paludosa Müll. Frib.</v></cell><cell r="G148" t="str"><v>Martinellia paludosa (Müll. Frib.) Arnell & C.E.O. Jensen</v></cell></row><row r="148"><cell r="M148" t="str"><v>BRh</v></cell><cell r="N148"><v>4</v></cell></row><row r="148"><cell r="P148" t="str"><v>IBMR</v></cell></row><row r="149"><cell r="A149" t="str"><v>SCA.SPX</v></cell><cell r="B149" t="str"><v>Scapania sp.        </v></cell></row><row r="149"><cell r="E149" t="str"><v>(Dumort.) Dumort.</v></cell></row><row r="149"><cell r="M149" t="str"><v>BRh</v></cell><cell r="N149"><v>4</v></cell></row><row r="150"><cell r="A150" t="str"><v>SCA.ULI</v></cell><cell r="B150" t="str"><v>Scapania uliginosa</v></cell></row><row r="150"><cell r="E150" t="str"><v>(Sw. ex Lindenb.) Dumort.</v></cell><cell r="F150" t="str"><v>Scapania obliqua (Arnell) Schiffn.</v></cell><cell r="G150" t="str"><v>Martinellia obliqua Arnell</v></cell><cell r="H150" t="str"><v>Martinellia uliginosa (Sw. ex Lindenb.) Lindb.</v></cell><cell r="I150" t="str"><v>Jungermannia uliginosa Sw. ex Lindenb.</v></cell></row><row r="150"><cell r="M150" t="str"><v>BRh</v></cell><cell r="N150"><v>4</v></cell></row><row r="151"><cell r="A151" t="str"><v>SCA.UND</v></cell><cell r="B151" t="str"><v>Scapania undulata</v></cell><cell r="C151"><v>17</v></cell><cell r="D151"><v>3</v></cell><cell r="E151" t="str"><v>(L.) Dumort.    </v></cell><cell r="F151" t="str"><v>Scapania dentata (Dumort.) Dumort.</v></cell><cell r="G151" t="str"><v>Scapania intermedia (Husn.) Pearson</v></cell><cell r="H151" t="str"><v>Scapania oakesii Austin</v></cell><cell r="I151" t="str"><v>Scapania resupinata (L.) Dumort.</v></cell><cell r="J151" t="str"><v>Martinellia undulata (L.) Gray</v></cell><cell r="K151" t="str"><v>Jungermannia undulata L.</v></cell></row><row r="151"><cell r="M151" t="str"><v>BRh</v></cell><cell r="N151"><v>4</v></cell></row><row r="151"><cell r="P151" t="str"><v>IBMR</v></cell></row><row r="152"><cell r="A152" t="str"><v>TRC.TOM</v></cell><cell r="B152" t="str"><v>Trichocolea tomentella</v></cell></row><row r="152"><cell r="E152" t="str"><v>(Ehrh.) Dumort.     </v></cell><cell r="F152" t="str"><v>Jungermannia tomentella Ehrh.</v></cell></row><row r="152"><cell r="M152" t="str"><v>BRh</v></cell><cell r="N152"><v>4</v></cell></row><row r="153"><cell r="B153" t="str"><v>- MOUSSES</v></cell></row><row r="153"><cell r="E153" t="str"><v>      </v></cell></row><row r="153"><cell r="M153" t="str"><v>BR</v></cell><cell r="N153"><v>5</v></cell></row><row r="153"><cell r="P153" t="str"><v>IBMR</v></cell></row><row r="154"><cell r="A154" t="str"><v>AMB.FLU</v></cell><cell r="B154" t="str"><v>Amblystegium fluviatile (Hygroamblystegium fluviatile)</v></cell><cell r="C154"><v>11</v></cell><cell r="D154"><v>2</v></cell><cell r="E154" t="str"><v>(Hedw.) B., S. & G.</v></cell><cell r="F154" t="str"><v>Hygroamblystegium fluviatile (Hedw.) Loeske</v></cell><cell r="G154" t="str"><v>Hygroamblystegium noterophilum (Sull. & Lesq.) Warnst.</v></cell></row><row r="154"><cell r="M154" t="str"><v>BRm</v></cell><cell r="N154"><v>5</v></cell></row><row r="154"><cell r="P154" t="str"><v>IBMR</v></cell></row><row r="155"><cell r="A155" t="str"><v>AMB.RIP</v></cell><cell r="B155" t="str"><v>Amblystegium riparium (Leptodictyum riparium)</v></cell><cell r="C155"><v>5</v></cell><cell r="D155"><v>2</v></cell><cell r="E155" t="str"><v>(Hedw.) B., S. & G.</v></cell><cell r="F155" t="str"><v>Leptodictyum riparium (Hedw.) Warnst.</v></cell><cell r="G155" t="str"><v>Amblystegium leptophyllum Schimp.</v></cell><cell r="H155" t="str"><v>Amblystegium maderense (Mitt.) Jaeg.</v></cell></row><row r="155"><cell r="M155" t="str"><v>BRm</v></cell><cell r="N155"><v>5</v></cell></row><row r="155"><cell r="P155" t="str"><v>IBMR</v></cell></row><row r="156"><cell r="A156" t="str"><v>AMB.SPX</v></cell><cell r="B156" t="str"><v>Amblystegium sp.        </v></cell></row><row r="156"><cell r="E156" t="str"><v>B., S. & G.</v></cell></row><row r="156"><cell r="M156" t="str"><v>BRm</v></cell><cell r="N156"><v>5</v></cell></row><row r="157"><cell r="A157" t="str"><v>AMB.TEN</v></cell><cell r="B157" t="str"><v>Amblystegium tenax (Hygroamblystegium tenax)    </v></cell><cell r="C157"><v>15</v></cell><cell r="D157"><v>2</v></cell><cell r="E157" t="str"><v>(Hedw.) C. Jens.</v></cell><cell r="F157" t="str"><v>Hygroamblystegium tenax (Hedw.) Jenn.</v></cell><cell r="G157" t="str"><v>Hygroamblystegium irrigum (Hook. & Wils.) Loeske</v></cell></row><row r="157"><cell r="M157" t="str"><v>BRm</v></cell><cell r="N157"><v>5</v></cell></row><row r="157"><cell r="P157" t="str"><v>IBMR</v></cell></row><row r="158"><cell r="A158" t="str"><v>ATR.UND</v></cell><cell r="B158" t="str"><v>Atrichum undulatum</v></cell></row><row r="158"><cell r="E158" t="str"><v>(Hedw.) P. Beauv.   </v></cell><cell r="F158" t="str"><v>Atrichum haussknechtii Jur. & Milde</v></cell></row><row r="158"><cell r="M158" t="str"><v>BRm</v></cell><cell r="N158"><v>5</v></cell></row><row r="159"><cell r="A159" t="str"><v>AUL.PAL</v></cell><cell r="B159" t="str"><v>Aulacommium palustre</v></cell></row><row r="159"><cell r="E159" t="str"><v>(Hedw.) Schwaegr.     </v></cell></row><row r="159"><cell r="M159" t="str"><v>BRm</v></cell><cell r="N159"><v>5</v></cell></row><row r="160"><cell r="A160" t="str"><v>BLI.ACU</v></cell><cell r="B160" t="str"><v>Blindia acuta        </v></cell></row><row r="160"><cell r="E160" t="str"><v>(Hedw.) B., S. & G.        </v></cell></row><row r="160"><cell r="M160" t="str"><v>BRm</v></cell><cell r="N160"><v>5</v></cell></row><row r="161"><cell r="A161" t="str"><v>BRA.PLU</v></cell><cell r="B161" t="str"><v>Brachythecium plumosum</v></cell><cell r="C161"><v>18</v></cell><cell r="D161"><v>3</v></cell><cell r="E161" t="str"><v>(Hedw.) B., S. & G.</v></cell></row><row r="161"><cell r="M161" t="str"><v>BRm</v></cell><cell r="N161"><v>5</v></cell></row><row r="161"><cell r="P161" t="str"><v>IBMR</v></cell></row><row r="162"><cell r="A162" t="str"><v>BRA.RIV</v></cell><cell r="B162" t="str"><v>Brachythecium rivulare</v></cell><cell r="C162"><v>15</v></cell><cell r="D162"><v>2</v></cell><cell r="E162" t="str"><v>B., S. & G.</v></cell></row><row r="162"><cell r="M162" t="str"><v>BRm</v></cell><cell r="N162"><v>5</v></cell></row><row r="162"><cell r="P162" t="str"><v>IBMR</v></cell></row><row r="163"><cell r="A163" t="str"><v>BRA.RUT</v></cell><cell r="B163" t="str"><v>Brachythecium rutabulum</v></cell></row><row r="163"><cell r="E163" t="str"><v>(Hedw.) B., S. & G.        </v></cell><cell r="F163" t="str"><v>Bryum serrulatum Lag.</v></cell><cell r="G163" t="str"><v>Bryum starkei var. explanatum (Brid.) Mönk.</v></cell></row><row r="163"><cell r="M163" t="str"><v>BRm</v></cell><cell r="N163"><v>5</v></cell></row><row r="164"><cell r="A164" t="str"><v>BRA.SPX</v></cell><cell r="B164" t="str"><v>Brachythecium sp.</v></cell></row><row r="164"><cell r="E164" t="str"><v>B., S. & G.</v></cell></row><row r="164"><cell r="M164" t="str"><v>BRm</v></cell><cell r="N164"><v>5</v></cell></row><row r="165"><cell r="A165" t="str"><v>BRY.PAL</v></cell><cell r="B165" t="str"><v>Bryum pallens       </v></cell></row><row r="165"><cell r="E165" t="str"><v>Sw.      </v></cell><cell r="F165" t="str"><v>Bryum lundstroemii H. Arn.</v></cell></row><row r="165"><cell r="M165" t="str"><v>BRm</v></cell><cell r="N165"><v>5</v></cell></row><row r="166"><cell r="A166" t="str"><v>BRY.PAS</v></cell><cell r="B166" t="str"><v>Bryum pallescens</v></cell></row><row r="166"><cell r="E166" t="str"><v>Schleich. ex Schwaegr. </v></cell><cell r="F166" t="str"><v>Bryum alandicum Bomanss.</v></cell><cell r="G166" t="str"><v>Bryum baenitzii C. Müll.</v></cell><cell r="H166" t="str"><v>Bryum bulbifolium Lindb.</v></cell><cell r="I166" t="str"><v>Bryum calcicola H. Arn.</v></cell><cell r="J166" t="str"><v>Bryum cirrhatum Hoppe & Hornsch.</v></cell><cell r="K166" t="str"><v>Bryum clathratum Amann</v></cell></row><row r="166"><cell r="M166" t="str"><v>BRm</v></cell><cell r="N166"><v>5</v></cell></row><row r="167"><cell r="A167" t="str"><v>BRY.PSE</v></cell><cell r="B167" t="str"><v>Bryum pseudotriquetrum</v></cell></row><row r="167"><cell r="E167" t="str"><v>(Hedw.) Gaertn., Meyer & Scherb.</v></cell><cell r="F167" t="str"><v>Bryum bimum (Schreb.) Turn.       </v></cell><cell r="G167" t="str"><v>Bryum ventricosum Relh.</v></cell></row><row r="167"><cell r="M167" t="str"><v>BRm</v></cell><cell r="N167"><v>5</v></cell></row><row r="168"><cell r="A168" t="str"><v>BRY.SCH</v></cell><cell r="B168" t="str"><v>Bryum schleicheri</v></cell></row><row r="168"><cell r="E168" t="str"><v>Lam. & DC.</v></cell></row><row r="168"><cell r="M168" t="str"><v>BRm</v></cell><cell r="N168"><v>5</v></cell></row><row r="169"><cell r="A169" t="str"><v>BRY.SPX</v></cell><cell r="B169" t="str"><v>Bryum sp.        </v></cell></row><row r="169"><cell r="E169" t="str"><v>Hedw.</v></cell></row><row r="169"><cell r="M169" t="str"><v>BRm</v></cell><cell r="N169"><v>5</v></cell></row><row r="170"><cell r="A170" t="str"><v>BRY.WEI</v></cell><cell r="B170" t="str"><v>Bryum weigelii</v></cell></row><row r="170"><cell r="E170" t="str"><v>Spreng.      </v></cell><cell r="F170" t="str"><v>Bryum duvalii Voit</v></cell></row><row r="170"><cell r="M170" t="str"><v>BRm</v></cell><cell r="N170"><v>5</v></cell></row><row r="171"><cell r="A171" t="str"><v>CAI.COR</v></cell><cell r="B171" t="str"><v>Calliergon cordifolium</v></cell></row><row r="171"><cell r="E171" t="str"><v>(Hedw.) Kindb.     </v></cell><cell r="F171" t="str"><v>Acrocladium cordifolium (Hedw.) P. Rich. & Wallace</v></cell></row><row r="171"><cell r="M171" t="str"><v>BRm</v></cell><cell r="N171"><v>5</v></cell></row><row r="172"><cell r="A172" t="str"><v>CAI.GIG</v></cell><cell r="B172" t="str"><v>Calliergon giganteum</v></cell></row><row r="172"><cell r="E172" t="str"><v>(Schimp.)      </v></cell><cell r="F172" t="str"><v>Calliergon megalophyllum Mik.</v></cell><cell r="G172" t="str"><v>Calliergon moldavicum (Velen.) Podp.</v></cell><cell r="H172" t="str"><v>Acrocladium giganteum (Schimp.) P. Rich. & Wallace</v></cell></row><row r="172"><cell r="M172" t="str"><v>BRm</v></cell><cell r="N172"><v>5</v></cell></row><row r="173"><cell r="A173" t="str"><v>CAI.SAR</v></cell><cell r="B173" t="str"><v>Calliergon sarmentosum</v></cell></row><row r="173"><cell r="E173" t="str"><v>(Wahenl.) Kindb.     </v></cell><cell r="F173" t="str"><v>Acrocladium sarmentosum (Wahlenb.) P. Rich. & Wallace</v></cell><cell r="G173" t="str"><v>Sarmentypnum sarmentosum (Wahlenb.) Tuom. & T. Kop.</v></cell></row><row r="173"><cell r="M173" t="str"><v>BRm</v></cell><cell r="N173"><v>5</v></cell></row><row r="174"><cell r="A174" t="str"><v>CAI.SPX</v></cell><cell r="B174" t="str"><v>Calliergon sp.        </v></cell></row><row r="174"><cell r="E174" t="str"><v>(Sull.) Kindb.</v></cell><cell r="F174" t="str"><v>Acrocladium sp. auct.</v></cell><cell r="G174" t="str"><v>Sarmentypnum sp. Tuom. & T. Kop.</v></cell></row><row r="174"><cell r="M174" t="str"><v>BRm</v></cell><cell r="N174"><v>5</v></cell></row><row r="175"><cell r="A175" t="str"><v>CAI.STR</v></cell><cell r="B175" t="str"><v>Calliergon stramineum </v></cell></row><row r="175"><cell r="E175" t="str"><v>(Brid.) Kindb.     </v></cell><cell r="F175" t="str"><v>Acrocladium stramineum (Brid.) P. Rich. & Wallace</v></cell></row><row r="175"><cell r="M175" t="str"><v>BRm</v></cell><cell r="N175"><v>5</v></cell></row><row r="176"><cell r="A176" t="str"><v>CAI.CUS</v></cell><cell r="B176" t="str"><v>Calliergonella cuspidata</v></cell></row><row r="176"><cell r="E176" t="str"><v>(Hedw.) Loeske     </v></cell><cell r="F176" t="str"><v>Calliergon cuspidatum (Hedw.) Kindb.     </v></cell><cell r="G176" t="str"><v>Acrocladium cuspidatum (Hedw.) Lindb.</v></cell></row><row r="176"><cell r="M176" t="str"><v>BRm</v></cell><cell r="N176"><v>5</v></cell></row><row r="177"><cell r="A177" t="str"><v>CIN.AQU</v></cell><cell r="B177" t="str"><v>Cinclidotus aquaticus</v></cell><cell r="C177"><v>15</v></cell><cell r="D177"><v>2</v></cell><cell r="E177" t="str"><v> (Hedw.) B., S. & G.</v></cell></row><row r="177"><cell r="M177" t="str"><v>BRm</v></cell><cell r="N177"><v>5</v></cell></row><row r="177"><cell r="P177" t="str"><v>IBMR</v></cell></row><row r="178"><cell r="A178" t="str"><v>CIN.DAN</v></cell><cell r="B178" t="str"><v>Cinclidotus danubicus</v></cell><cell r="C178"><v>13</v></cell><cell r="D178"><v>3</v></cell><cell r="E178" t="str"><v>Schiffn. & Baumg.</v></cell></row><row r="178"><cell r="M178" t="str"><v>BRm</v></cell><cell r="N178"><v>5</v></cell></row><row r="178"><cell r="P178" t="str"><v>IBMR</v></cell></row><row r="179"><cell r="A179" t="str"><v>CIN.FON</v></cell><cell r="B179" t="str"><v>Cinclidotus fontinaloides</v></cell><cell r="C179"><v>12</v></cell><cell r="D179"><v>2</v></cell><cell r="E179" t="str"><v>(Hedw.) P. Beauv.    </v></cell><cell r="F179" t="str"><v>Cinclidotus minor Lindb.</v></cell></row><row r="179"><cell r="M179" t="str"><v>BRm</v></cell><cell r="N179"><v>5</v></cell></row><row r="179"><cell r="P179" t="str"><v>IBMR</v></cell></row><row r="180"><cell r="A180" t="str"><v>CIN.MUC</v></cell><cell r="B180" t="str"><v>Cinclidotus mucronatus</v></cell></row><row r="180"><cell r="E180" t="str"><v>(Brid.) Mach.     </v></cell><cell r="F180" t="str"><v>Dialytrichia mucronata (Brid.) Broth.</v></cell></row><row r="180"><cell r="M180" t="str"><v>BRm</v></cell><cell r="N180"><v>5</v></cell></row><row r="181"><cell r="A181" t="str"><v>CIN.RIP</v></cell><cell r="B181" t="str"><v>Cinclidotus riparius</v></cell><cell r="C181"><v>13</v></cell><cell r="D181"><v>2</v></cell><cell r="E181" t="str"><v>(Brid.) Arnott   </v></cell><cell r="F181" t="str"><v>Cinclidotus nigricans (Brid.) Wijk & Marg.</v></cell></row><row r="181"><cell r="M181" t="str"><v>BRm</v></cell><cell r="N181"><v>5</v></cell></row><row r="181"><cell r="P181" t="str"><v>IBMR</v></cell></row><row r="182"><cell r="A182" t="str"><v>CIN.SPX</v></cell><cell r="B182" t="str"><v>Cinclidotus sp.        </v></cell></row><row r="182"><cell r="E182" t="str"><v>P. Beauv. </v></cell></row><row r="182"><cell r="M182" t="str"><v>BRm</v></cell><cell r="N182"><v>5</v></cell></row><row r="183"><cell r="A183" t="str"><v>CLI.DEN</v></cell><cell r="B183" t="str"><v>Climacium dendroides  </v></cell></row><row r="183"><cell r="E183" t="str"><v>(Hedw.) Web. & Mohr  </v></cell><cell r="F183" t="str"><v>Calliergon solitarium (Möll.) Broth.</v></cell></row><row r="183"><cell r="M183" t="str"><v>BRm</v></cell><cell r="N183"><v>5</v></cell></row><row r="184"><cell r="A184" t="str"><v>CRA.COM</v></cell><cell r="B184" t="str"><v>Cratoneuron commutatum</v></cell><cell r="C184"><v>15</v></cell><cell r="D184"><v>2</v></cell><cell r="E184" t="str"><v>(Hedw.) G. Roth   </v></cell><cell r="F184" t="str"><v>Cratoneuron falcatum (Brid.) G. Roth</v></cell></row><row r="184"><cell r="M184" t="str"><v>BRm</v></cell><cell r="N184"><v>5</v></cell></row><row r="184"><cell r="P184" t="str"><v>IBMR</v></cell></row><row r="185"><cell r="A185" t="str"><v>CRA.FIL</v></cell><cell r="B185" t="str"><v>Cratoneuron filicinum</v></cell><cell r="C185"><v>18</v></cell><cell r="D185"><v>3</v></cell><cell r="E185" t="str"><v>(Hedw.) Spruce</v></cell><cell r="F185" t="str"><v>Amblystegium boreale Dix.</v></cell><cell r="G185" t="str"><v>Cratoneuron articum Steere</v></cell></row><row r="185"><cell r="M185" t="str"><v>BRm</v></cell><cell r="N185"><v>5</v></cell></row><row r="185"><cell r="P185" t="str"><v>IBMR</v></cell></row><row r="186"><cell r="A186" t="str"><v>CRA.SPX</v></cell><cell r="B186" t="str"><v>Cratoneuron sp.        </v></cell></row><row r="186"><cell r="E186" t="str"><v>(Sull.) Spruce </v></cell></row><row r="186"><cell r="M186" t="str"><v>BRm</v></cell><cell r="N186"><v>5</v></cell></row><row r="187"><cell r="A187" t="str"><v>CTE.MOL</v></cell><cell r="B187" t="str"><v>Ctenidium molluscum</v></cell></row><row r="187"><cell r="E187" t="str"><v>(Hedw.) Mitt.     </v></cell><cell r="F187" t="str"><v>Hypnum balearicum Dix.</v></cell></row><row r="187"><cell r="M187" t="str"><v>BRm</v></cell><cell r="N187"><v>5</v></cell></row><row r="188"><cell r="A188" t="str"><v>DIH.FLA</v></cell><cell r="B188" t="str"><v>Dichodontium flavescens</v></cell></row><row r="188"><cell r="E188" t="str"><v>(Dicks.) Lindb.  </v></cell><cell r="F188" t="str"><v>Dichodontium pellucidum (Hedw.) Schimp. var. flavescens (With.) Husnot</v></cell></row><row r="188"><cell r="M188" t="str"><v>BRm</v></cell><cell r="N188"><v>5</v></cell></row><row r="189"><cell r="A189" t="str"><v>DIH.PEL</v></cell><cell r="B189" t="str"><v>Dichodontium pellucidum</v></cell></row><row r="189"><cell r="E189" t="str"><v>(Hedw.) Schimp.     </v></cell></row><row r="189"><cell r="M189" t="str"><v>BRm</v></cell><cell r="N189"><v>5</v></cell></row><row r="190"><cell r="A190" t="str"><v>DIH.SPX</v></cell><cell r="B190" t="str"><v>Dichodontium sp.</v></cell></row><row r="190"><cell r="E190" t="str"><v>Schimp.</v></cell></row><row r="190"><cell r="M190" t="str"><v>BRm</v></cell><cell r="N190"><v>5</v></cell></row><row r="191"><cell r="A191" t="str"><v>DIC.PAL</v></cell><cell r="B191" t="str"><v>Dicranella palustris</v></cell></row><row r="191"><cell r="E191" t="str"><v>(Dicks.) Crundw. ex Warb.      </v></cell><cell r="F191" t="str"><v>Dicranella squarrosa (Schrad.) Schimp.</v></cell><cell r="G191" t="str"><v>Anisothecium palustre (Dicks.) I.Hag.</v></cell><cell r="H191" t="str"><v>Anisothecium squarrosum (Schrad.) Lindb.</v></cell><cell r="I191" t="str"><v>Diobelon squarrosum (Schrad.) Hampe</v></cell></row><row r="191"><cell r="M191" t="str"><v>BRm</v></cell><cell r="N191"><v>5</v></cell></row><row r="192"><cell r="A192" t="str"><v>DIC.SPX</v></cell><cell r="B192" t="str"><v>Dicranella sp.</v></cell></row><row r="192"><cell r="E192" t="str"><v>(C. Müll.) Schimp.</v></cell></row><row r="192"><cell r="M192" t="str"><v>BRm</v></cell><cell r="N192"><v>5</v></cell></row><row r="193"><cell r="A193" t="str"><v>DIR.SCO</v></cell><cell r="B193" t="str"><v>Dicranum scottianum       </v></cell></row><row r="193"><cell r="E193" t="str"><v>Turn.      </v></cell><cell r="F193" t="str"><v>Orthodicranum scottianum (Turn.) G. Roth ex Cas.-Gil</v></cell></row><row r="193"><cell r="M193" t="str"><v>BRm</v></cell><cell r="N193"><v>5</v></cell></row><row r="194"><cell r="A194" t="str"><v>DRE.ADU</v></cell><cell r="B194" t="str"><v>Drepanocladus aduncus</v></cell><cell r="C194"><v>15</v></cell><cell r="D194"><v>3</v></cell><cell r="E194" t="str"><v>(Hedw.) Warnst.</v></cell><cell r="F194" t="str"><v>Drepanocladus kneiffii (B., S. & G.) Warnst.</v></cell><cell r="G194" t="str"><v>Drepanocladus polycarpus (Voit) Warnst.</v></cell><cell r="H194" t="str"><v>Drepanocladus simplicissimus Warnst.</v></cell></row><row r="194"><cell r="M194" t="str"><v>BRm</v></cell><cell r="N194"><v>5</v></cell></row><row r="194"><cell r="P194" t="str"><v>IBMR</v></cell></row><row r="195"><cell r="A195" t="str"><v>DRE.EXA</v></cell><cell r="B195" t="str"><v>Drepanocladus exannulatus</v></cell></row><row r="195"><cell r="E195" t="str"><v>(B., S. & G.) Warnst.     </v></cell><cell r="F195" t="str"><v>Warnstorfia exannulata (B., S. & G.) Loeske      </v></cell><cell r="G195" t="str"><v>Drepanocladus procerus (Ren. & H. Arn.) Warnst.</v></cell><cell r="H195" t="str"><v>Drepanocladus prupurascens (Schimp.) Loeske</v></cell></row><row r="195"><cell r="M195" t="str"><v>BRm</v></cell><cell r="N195"><v>5</v></cell></row><row r="196"><cell r="A196" t="str"><v>DRE.FLU</v></cell><cell r="B196" t="str"><v>Drepanocladus fluitans</v></cell><cell r="C196"><v>14</v></cell><cell r="D196"><v>2</v></cell><cell r="E196" t="str"><v>(Hedw.) Warnst.</v></cell><cell r="F196" t="str"><v>Warnstorfia fluitans (Hedw.) Loeske</v></cell><cell r="G196" t="str"><v>Campylium brachycarpum G. Roth</v></cell><cell r="H196" t="str"><v>Drepanocladus h-schulzei (Limpr.) Loeske</v></cell><cell r="I196" t="str"><v>Drepanocladus schulzei G. Roth</v></cell></row><row r="196"><cell r="M196" t="str"><v>BRm</v></cell><cell r="N196"><v>5</v></cell></row><row r="196"><cell r="P196" t="str"><v>IBMR</v></cell></row><row r="197"><cell r="A197" t="str"><v>DRE.SPX</v></cell><cell r="B197" t="str"><v>Drepanocladus sp.        </v></cell></row><row r="197"><cell r="E197" t="str"><v>(C. Müll.) G. Roth</v></cell></row><row r="197"><cell r="M197" t="str"><v>BRm</v></cell><cell r="N197"><v>5</v></cell></row><row r="198"><cell r="A198" t="str"><v>EUC.VER</v></cell><cell r="B198" t="str"><v>Eucladium verticillatum</v></cell></row><row r="198"><cell r="E198" t="str"><v>(Brid.) B., S. & G.</v></cell><cell r="F198" t="str"><v>Eucladium styriacum Glow.</v></cell></row><row r="198"><cell r="M198" t="str"><v>BRm</v></cell><cell r="N198"><v>5</v></cell></row><row r="199"><cell r="A199" t="str"><v>EUR.HIA</v></cell><cell r="B199" t="str"><v>Eurhynchium hians</v></cell></row><row r="199"><cell r="E199" t="str"><v>(Hedw.) Sande Lac.    </v></cell><cell r="F199" t="str"><v>Eurhynchium swartzii (Turn.) Curn.      </v></cell><cell r="G199" t="str"><v>Eurhynchium praelongum auct. Plur.      </v></cell><cell r="H199" t="str"><v>Oxyrrhynchium hians (Hedw.) Loeske</v></cell><cell r="I199" t="str"><v>Oxyrrhynchium swartzii (Turn.) Warnst.</v></cell></row><row r="199"><cell r="M199" t="str"><v>BRm</v></cell><cell r="N199"><v>5</v></cell></row><row r="200"><cell r="A200" t="str"><v>EUR.PRA</v></cell><cell r="B200" t="str"><v>Eurhynchium praelongum var. praelongum</v></cell></row><row r="200"><cell r="E200" t="str"><v>(Hedw.) B., S. & G.</v></cell><cell r="F200" t="str"><v>Oxyrrhynchium praelongum (Hedw.) Warnst. var. praelongum (Hedw.) Warnst.</v></cell><cell r="G200" t="str"><v>Oxyrrhynchium serratum (Card. & H. Wint.) F. Koppe</v></cell><cell r="H200" t="str"><v>Stokesiella praelonga (Hedw.) Robins. var. praelonga (Hedw.) Robins.</v></cell></row><row r="200"><cell r="M200" t="str"><v>BRm</v></cell><cell r="N200"><v>5</v></cell></row><row r="201"><cell r="A201" t="str"><v>EUR.STO</v></cell><cell r="B201" t="str"><v>Eurhynchium praelongum var. stokesii (E. stokesii)</v></cell></row><row r="201"><cell r="E201" t="str"><v>(Turn.) Dix.   </v></cell><cell r="F201" t="str"><v>Bryhnia stokesii (Turn.) Robins.</v></cell><cell r="G201" t="str"><v>Eurhynchium stockesii (Turn.) B., S. & G.</v></cell><cell r="H201" t="str"><v>Oxyrrhynchium praelongum (Hedw.) Warnst. var. stokesii (Turn.) Podp.</v></cell><cell r="I201" t="str"><v>Stokesiella praelonga (Hedw.) Robins. var. stokesii (Turn.) Crum.</v></cell></row><row r="201"><cell r="M201" t="str"><v>BRm</v></cell><cell r="N201"><v>5</v></cell></row><row r="202"><cell r="A202" t="str"><v>EUR.SPX</v></cell><cell r="B202" t="str"><v>Eurhynchium sp.</v></cell></row><row r="202"><cell r="E202" t="str"><v>B., S. & G.</v></cell></row><row r="202"><cell r="M202" t="str"><v>BRm</v></cell><cell r="N202"><v>5</v></cell></row><row r="203"><cell r="A203" t="str"><v>FIS.BRY</v></cell><cell r="B203" t="str"><v>Fissidens bryoides</v></cell></row><row r="203"><cell r="E203" t="str"><v>Hedw.      </v></cell><cell r="F203" t="str"><v>Fissidens alpestris (Lindb.) Amann</v></cell><cell r="G203" t="str"><v>Fissidens inconstans Schimp.</v></cell><cell r="H203" t="str"><v>Fissidens arcticus Bryhn</v></cell></row><row r="203"><cell r="M203" t="str"><v>BRm</v></cell><cell r="N203"><v>5</v></cell></row><row r="204"><cell r="A204" t="str"><v>FIS.CRA</v></cell><cell r="B204" t="str"><v>Fissidens crassipes</v></cell><cell r="C204"><v>12</v></cell><cell r="D204"><v>2</v></cell><cell r="E204" t="str"><v>Wils. ex B., S. & G.</v></cell><cell r="F204" t="str"><v>Fissidens mildeanus Schimp.</v></cell><cell r="G204" t="str"><v>Fissidens warnstorfii Fleisch.</v></cell></row><row r="204"><cell r="M204" t="str"><v>BRm</v></cell><cell r="N204"><v>5</v></cell></row><row r="204"><cell r="P204" t="str"><v>IBMR</v></cell></row><row r="205"><cell r="A205" t="str"><v>FIS.CUR</v></cell><cell r="B205" t="str"><v>Fissidens curnovii       </v></cell></row><row r="205"><cell r="E205" t="str"><v>Mitt.      </v></cell><cell r="F205" t="str"><v>Fissidens bryoides Hedw. var. caespitans Schimp.</v></cell></row><row r="205"><cell r="M205" t="str"><v>BRm</v></cell><cell r="N205"><v>5</v></cell></row><row r="206"><cell r="A206" t="str"><v>FIS.GRA</v></cell><cell r="B206" t="str"><v>Fissidens gracilifolius (F. minutulus)</v></cell><cell r="C206"><v>14</v></cell><cell r="D206"><v>3</v></cell><cell r="E206" t="str"><v>Brugg. Nann. & Nyh.   </v></cell><cell r="F206" t="str"><v>Fissidens pusillus (Wils.) Milde var. tenuifolius (Boul.) Popd.</v></cell><cell r="G206" t="str"><v>Fissidens minutulus auct.  </v></cell><cell r="H206" t="str"><v>Fissidens minitulus Auct.</v></cell></row><row r="206"><cell r="M206" t="str"><v>BRm</v></cell><cell r="N206"><v>5</v></cell></row><row r="206"><cell r="P206" t="str"><v>IBMR</v></cell></row><row r="207"><cell r="A207" t="str"><v>FIS.GRN</v></cell><cell r="B207" t="str"><v>Fissidens grandifrons  (Pachyfissidens grandifrons)</v></cell><cell r="C207"><v>15</v></cell><cell r="D207"><v>3</v></cell><cell r="E207" t="str"><v>Brid.</v></cell><cell r="F207" t="str"><v>Pachyfissidens grandifrons (Brid.) Limpr.</v></cell></row><row r="207"><cell r="M207" t="str"><v>BRm</v></cell><cell r="N207"><v>5</v></cell></row><row r="207"><cell r="P207" t="str"><v>IBMR</v></cell></row><row r="208"><cell r="A208" t="str"><v>FIS.MON</v></cell><cell r="B208" t="str"><v>Fissidens monguillonii</v></cell></row><row r="208"><cell r="E208" t="str"><v>Thér.      </v></cell></row><row r="208"><cell r="M208" t="str"><v>BRm</v></cell><cell r="N208"><v>5</v></cell></row><row r="209"><cell r="A209" t="str"><v>FIS.OSM</v></cell><cell r="B209" t="str"><v>Fissidens osmundoides       </v></cell></row><row r="209"><cell r="E209" t="str"><v>Hedw.      </v></cell></row><row r="209"><cell r="M209" t="str"><v>BRm</v></cell><cell r="N209"><v>5</v></cell></row><row r="210"><cell r="A210" t="str"><v>FIS.POL</v></cell><cell r="B210" t="str"><v>Fissidens polyphyllus</v></cell><cell r="C210"><v>20</v></cell><cell r="D210"><v>3</v></cell><cell r="E210" t="str"><v>Wils. ex B., S. & G.</v></cell></row><row r="210"><cell r="M210" t="str"><v>BRm</v></cell><cell r="N210"><v>5</v></cell></row><row r="210"><cell r="P210" t="str"><v>IBMR</v></cell></row><row r="211"><cell r="A211" t="str"><v>FIS.PUS</v></cell><cell r="B211" t="str"><v>Fissidens pusillus</v></cell><cell r="C211"><v>14</v></cell><cell r="D211"><v>2</v></cell><cell r="E211" t="str"><v>(Wils.) Milde</v></cell><cell r="F211" t="str"><v>Fissidens pusillus (Wils.) Milde var. pusillus (Wils.) Milde</v></cell></row><row r="211"><cell r="M211" t="str"><v>BRm</v></cell><cell r="N211"><v>5</v></cell></row><row r="211"><cell r="P211" t="str"><v>IBMR</v></cell></row><row r="212"><cell r="A212" t="str"><v>FIS.RIV</v></cell><cell r="B212" t="str"><v>Fissidens rivularis</v></cell></row><row r="212"><cell r="E212" t="str"><v>(Spruce) B., S. & G.    </v></cell></row><row r="212"><cell r="M212" t="str"><v>BRm</v></cell><cell r="N212"><v>5</v></cell></row><row r="213"><cell r="A213" t="str"><v>FIS.RUF</v></cell><cell r="B213" t="str"><v>Fissidens rufulus</v></cell><cell r="C213"><v>14</v></cell><cell r="D213"><v>3</v></cell><cell r="E213" t="str"><v>B., S. & G.</v></cell></row><row r="213"><cell r="M213" t="str"><v>BRm</v></cell><cell r="N213"><v>5</v></cell></row><row r="213"><cell r="P213" t="str"><v>IBMR</v></cell></row><row r="214"><cell r="A214" t="str"><v>FIS.SPX</v></cell><cell r="B214" t="str"><v>Fissidens sp.</v></cell></row><row r="214"><cell r="E214" t="str"><v>Hedw.      </v></cell></row><row r="214"><cell r="M214" t="str"><v>BRm</v></cell><cell r="N214"><v>5</v></cell></row><row r="215"><cell r="A215" t="str"><v>FIS.TAX</v></cell><cell r="B215" t="str"><v>Fissidens taxifolius</v></cell></row><row r="215"><cell r="E215" t="str"><v>Hedw.</v></cell></row><row r="215"><cell r="M215" t="str"><v>BRm</v></cell><cell r="N215"><v>5</v></cell></row><row r="216"><cell r="A216" t="str"><v>FIS.VIR</v></cell><cell r="B216" t="str"><v>Fissidens viridulus   </v></cell><cell r="C216"><v>11</v></cell><cell r="D216"><v>2</v></cell><cell r="E216" t="str"><v>(Sw.) Wahlenb.     </v></cell><cell r="F216" t="str"><v>Fissidens impar Mitt.</v></cell><cell r="G216" t="str"><v>Fissidens bambergeri auct.</v></cell><cell r="H216" t="str"><v>Fissidens haraldii (Lindb.) Limpr.</v></cell><cell r="I216" t="str"><v>Fissidens intralimbatus Ruthe</v></cell></row><row r="216"><cell r="M216" t="str"><v>BRm</v></cell><cell r="N216"><v>5</v></cell></row><row r="216"><cell r="P216" t="str"><v>IBMR</v></cell></row><row r="217"><cell r="A217" t="str"><v>FON.ANT</v></cell><cell r="B217" t="str"><v>Fontinalis antipyretica</v></cell><cell r="C217"><v>10</v></cell><cell r="D217"><v>1</v></cell><cell r="E217" t="str"><v>Hedw.      </v></cell><cell r="F217" t="str"><v>Fontinalis androgyna Ruthe</v></cell><cell r="G217" t="str"><v>Fontinalis arvernica (Ren.) Card.</v></cell><cell r="H217" t="str"><v>Fontinalis cavifolia Warnst. & Fleisch.</v></cell><cell r="I217" t="str"><v>Fontinalis dolosa Card.</v></cell><cell r="J217" t="str"><v>Fontinalis gothica Card. & H. Arn.</v></cell><cell r="K217" t="str"><v>Fontinalis gracilis Lindb.</v></cell></row><row r="217"><cell r="M217" t="str"><v>BRm</v></cell><cell r="N217"><v>5</v></cell></row><row r="217"><cell r="P217" t="str"><v>IBMR</v></cell></row><row r="218"><cell r="A218" t="str"><v>FON.HYP</v></cell><cell r="B218" t="str"><v>Fontinalis hypnoides</v></cell></row><row r="218"><cell r="E218" t="str"><v>Hartm      </v></cell><cell r="F218" t="str"><v>Fontinalis camusii Card.</v></cell><cell r="G218" t="str"><v>Fontinalis seriata Lindb.</v></cell><cell r="H218" t="str"><v>Fontinalis hypnoides Hartm. var. hypnoides Hartm.</v></cell></row><row r="218"><cell r="M218" t="str"><v>BRm</v></cell><cell r="N218"><v>5</v></cell></row><row r="219"><cell r="A219" t="str"><v>FON.DUR</v></cell><cell r="B219" t="str"><v>Fontinalis hypnoides var. duriaei (F. duriaei)</v></cell><cell r="C219"><v>14</v></cell><cell r="D219"><v>3</v></cell><cell r="E219" t="str"><v>Schimp.      </v></cell><cell r="F219" t="str"><v>Fontinalis duriaei Schimp.</v></cell></row><row r="219"><cell r="M219" t="str"><v>BRm</v></cell><cell r="N219"><v>5</v></cell></row><row r="219"><cell r="P219" t="str"><v>IBMR</v></cell></row><row r="220"><cell r="A220" t="str"><v>FON.SPX</v></cell><cell r="B220" t="str"><v>Fontinalis sp.</v></cell></row><row r="220"><cell r="E220" t="str"><v>Hedw.      </v></cell></row><row r="220"><cell r="M220" t="str"><v>BRm</v></cell><cell r="N220"><v>5</v></cell></row><row r="221"><cell r="A221" t="str"><v>FON.SQU</v></cell><cell r="B221" t="str"><v>Fontinalis squamosa</v></cell><cell r="C221"><v>16</v></cell><cell r="D221"><v>3</v></cell><cell r="E221" t="str"><v>Hedw.      </v></cell><cell r="F221" t="str"><v>Fontinalis dixonii Card.</v></cell></row><row r="221"><cell r="M221" t="str"><v>BRm</v></cell><cell r="N221"><v>5</v></cell></row><row r="221"><cell r="P221" t="str"><v>IBMR</v></cell></row><row r="222"><cell r="A222" t="str"><v>HET.HET</v></cell><cell r="B222" t="str"><v>Heterocladium heteropterum        </v></cell></row><row r="222"><cell r="E222" t="str"><v>B., S. & G.</v></cell><cell r="F222" t="str"><v>Heterocladium wulfsbergii I. Hag.</v></cell></row><row r="222"><cell r="M222" t="str"><v>BRm</v></cell><cell r="N222"><v>5</v></cell></row><row r="223"><cell r="A223" t="str"><v>HOA.TRI</v></cell><cell r="B223" t="str"><v>Homalia trichomanoides</v></cell></row><row r="223"><cell r="E223" t="str"><v>(Hedw.) B., S. & G.</v></cell></row><row r="223"><cell r="M223" t="str"><v>BRm</v></cell><cell r="N223"><v>5</v></cell></row><row r="224"><cell r="A224" t="str"><v>HOO.LUC</v></cell><cell r="B224" t="str"><v>Hookeria lucens</v></cell></row><row r="224"><cell r="E224" t="str"><v>(Hedw.) Sm.     </v></cell></row><row r="224"><cell r="M224" t="str"><v>BRm</v></cell><cell r="N224"><v>5</v></cell></row><row r="225"><cell r="A225" t="str"><v>HYG.DUR</v></cell><cell r="B225" t="str"><v>Hygrohypnum duriusculum (H. dilatatum)</v></cell><cell r="C225"><v>19</v></cell><cell r="D225"><v>3</v></cell><cell r="E225" t="str"><v>(De Not.) Jamieson    </v></cell><cell r="F225" t="str"><v>Hygrohypnum dilatatum (Wils. ex Schimp.) Loeske</v></cell></row><row r="225"><cell r="M225" t="str"><v>BRm</v></cell><cell r="N225"><v>5</v></cell></row><row r="225"><cell r="P225" t="str"><v>IBMR</v></cell></row><row r="226"><cell r="A226" t="str"><v>HYG.LUR</v></cell><cell r="B226" t="str"><v>Hygrohypnum luridum</v></cell><cell r="C226"><v>19</v></cell><cell r="D226"><v>3</v></cell><cell r="E226" t="str"><v>(Hedw.) Jenn.     </v></cell><cell r="F226" t="str"><v>Hygrohypnum palustre Loeske</v></cell></row><row r="226"><cell r="M226" t="str"><v>BRm</v></cell><cell r="N226"><v>5</v></cell></row><row r="226"><cell r="P226" t="str"><v>IBMR</v></cell></row><row r="227"><cell r="A227" t="str"><v>HYG.MOL</v></cell><cell r="B227" t="str"><v>Hygrohypnum molle</v></cell></row><row r="227"><cell r="E227" t="str"><v>(Hedw.) Loeske</v></cell></row><row r="227"><cell r="M227" t="str"><v>BRm</v></cell><cell r="N227"><v>5</v></cell></row><row r="228"><cell r="A228" t="str"><v>HYG.OCH</v></cell><cell r="B228" t="str"><v>Hygrohypnum ochraceum</v></cell><cell r="C228"><v>19</v></cell><cell r="D228"><v>3</v></cell><cell r="E228" t="str"><v>(Turn. ex Wils.) Loeske</v></cell></row><row r="228"><cell r="M228" t="str"><v>BRm</v></cell><cell r="N228"><v>5</v></cell></row><row r="228"><cell r="P228" t="str"><v>IBMR</v></cell></row><row r="229"><cell r="A229" t="str"><v>HYG.POL</v></cell><cell r="B229" t="str"><v>Hygrohypnum polare</v></cell></row><row r="229"><cell r="E229" t="str"><v>(Lindb.) Loeske     </v></cell></row><row r="229"><cell r="M229" t="str"><v>BRm</v></cell><cell r="N229"><v>5</v></cell></row><row r="230"><cell r="A230" t="str"><v>HYG.SMI</v></cell><cell r="B230" t="str"><v>Hygrohypnum smithii</v></cell></row><row r="230"><cell r="E230" t="str"><v>(Sw.) Broth.     </v></cell></row><row r="230"><cell r="M230" t="str"><v>BRm</v></cell><cell r="N230"><v>5</v></cell></row><row r="231"><cell r="A231" t="str"><v>HYG.SPX</v></cell><cell r="B231" t="str"><v>Hygrohypnum sp.</v></cell></row><row r="231"><cell r="E231" t="str"><v>Lindb.      </v></cell></row><row r="231"><cell r="M231" t="str"><v>BRm</v></cell><cell r="N231"><v>5</v></cell></row><row r="232"><cell r="A232" t="str"><v>HYO.ARM</v></cell><cell r="B232" t="str"><v>Hyocomium armoricum (H. flagellare)      </v></cell><cell r="C232"><v>20</v></cell><cell r="D232"><v>3</v></cell><cell r="E232" t="str"><v>(Brid.) Wijk & Marg.   </v></cell><cell r="F232" t="str"><v>Hyocomium flagellare B., S. & G.</v></cell></row><row r="232"><cell r="M232" t="str"><v>BRm</v></cell><cell r="N232"><v>5</v></cell></row><row r="232"><cell r="P232" t="str"><v>IBMR</v></cell></row><row r="233"><cell r="A233" t="str"><v>MNI.HOR</v></cell><cell r="B233" t="str"><v>Mnium hornum</v></cell></row><row r="233"><cell r="E233" t="str"><v>Hedw.      </v></cell><cell r="F233" t="str"><v>Polla horna (Hedw.) Brid.</v></cell></row><row r="233"><cell r="M233" t="str"><v>BRm</v></cell><cell r="N233"><v>5</v></cell></row><row r="234"><cell r="A234" t="str"><v>MNI.SPX</v></cell><cell r="B234" t="str"><v>Mnium sp.</v></cell></row><row r="234"><cell r="E234" t="str"><v>Hedw.      </v></cell></row><row r="234"><cell r="M234" t="str"><v>BRm</v></cell><cell r="N234"><v>5</v></cell></row><row r="235"><cell r="A235" t="str"><v>OCT.FON</v></cell><cell r="B235" t="str"><v>Octodiceras fontanum</v></cell><cell r="C235"><v>7</v></cell><cell r="D235"><v>3</v></cell><cell r="E235" t="str"><v>(B. Pyl.) Lindb.</v></cell><cell r="F235" t="str"><v>Fissidens fontanus (B. Pyl.) Steud.</v></cell><cell r="G235" t="str"><v>Fissidens julianus (Savi ex Lam. & DC.) Schimp.</v></cell><cell r="H235" t="str"><v>Octodiceras julianum (Savi ex Lam. & DC.) Brid.</v></cell></row><row r="235"><cell r="M235" t="str"><v>BRm</v></cell><cell r="N235"><v>5</v></cell></row><row r="235"><cell r="P235" t="str"><v>IBMR</v></cell></row><row r="236"><cell r="A236" t="str"><v>ORT.RIV</v></cell><cell r="B236" t="str"><v>Orthotrichum rivulare</v></cell><cell r="C236"><v>15</v></cell><cell r="D236"><v>3</v></cell><cell r="E236" t="str"><v>Turn.      </v></cell></row><row r="236"><cell r="M236" t="str"><v>BRm</v></cell><cell r="N236"><v>5</v></cell></row><row r="236"><cell r="P236" t="str"><v>IBMR</v></cell></row><row r="237"><cell r="A237" t="str"><v>ORT.SPX</v></cell><cell r="B237" t="str"><v>Orthotrichum sp.        </v></cell></row><row r="237"><cell r="E237" t="str"><v>Hedw.      </v></cell></row><row r="237"><cell r="M237" t="str"><v>BRm</v></cell><cell r="N237"><v>5</v></cell></row><row r="238"><cell r="A238" t="str"><v>PHI.CAL</v></cell><cell r="B238" t="str"><v>Philonotis calcarea</v></cell><cell r="C238"><v>18</v></cell><cell r="D238"><v>2</v></cell><cell r="E238" t="str"><v>(B. & S.) Schimp.    </v></cell><cell r="F238" t="str"><v>Bartramia calcarea B.E.</v></cell></row><row r="238"><cell r="M238" t="str"><v>BRm</v></cell><cell r="N238"><v>5</v></cell></row><row r="238"><cell r="P238" t="str"><v>IBMR</v></cell></row><row r="239"><cell r="A239" t="str"><v>PHI.FON</v></cell><cell r="B239" t="str"><v>Philonotis fontana et autres espèces, exclusion P. calcarea (P. gr. fontana)</v></cell><cell r="C239"><v>18</v></cell><cell r="D239"><v>3</v></cell><cell r="E239" t="str"><v>(Hedw.) Brid.</v></cell><cell r="F239" t="str"><v>Philonotis seriata Mitt.</v></cell><cell r="G239" t="str"><v>Philonotis arnellii Husn.</v></cell><cell r="H239" t="str"><v>Philonotis caespitosa Jur.</v></cell><cell r="I239" t="str"><v>Philonotis marchica (Hedw.) Brid.  </v></cell><cell r="J239" t="str"><v>Philonotis rigida Brid.  </v></cell></row><row r="239"><cell r="M239" t="str"><v>BRm</v></cell><cell r="N239"><v>5</v></cell></row><row r="239"><cell r="P239" t="str"><v>IBMR</v></cell></row><row r="240"><cell r="A240" t="str"><v>PHI.SPX</v></cell><cell r="B240" t="str"><v>Philonotis sp.</v></cell></row><row r="240"><cell r="E240" t="str"><v>Brid.</v></cell></row><row r="240"><cell r="M240" t="str"><v>BRm</v></cell><cell r="N240"><v>5</v></cell></row><row r="241"><cell r="A241" t="str"><v>PLI.AFF</v></cell><cell r="B241" t="str"><v>Plagiomnium affine</v></cell></row><row r="241"><cell r="E241" t="str"><v>(Bland.) T. Kop.    </v></cell><cell r="F241" t="str"><v>Mnium affine Bland.  </v></cell></row><row r="241"><cell r="M241" t="str"><v>BRm</v></cell><cell r="N241"><v>5</v></cell></row><row r="242"><cell r="A242" t="str"><v>PLI.MED</v></cell><cell r="B242" t="str"><v>Plagiomnium medium</v></cell></row><row r="242"><cell r="E242" t="str"><v>(B. & S.) T. Kop.    </v></cell><cell r="F242" t="str"><v>Mnium medium B. & S.   </v></cell></row><row r="242"><cell r="M242" t="str"><v>BRm</v></cell><cell r="N242"><v>5</v></cell></row><row r="243"><cell r="A243" t="str"><v>PLI.ROS</v></cell><cell r="B243" t="str"><v>Plagiomnium rostratum</v></cell></row><row r="243"><cell r="E243" t="str"><v>(Schrad.) T. Kop.    </v></cell><cell r="F243" t="str"><v>Mnium rostratum Schrad.</v></cell><cell r="G243" t="str"><v>Mnium longirostre Brid.</v></cell></row><row r="243"><cell r="M243" t="str"><v>BRm</v></cell><cell r="N243"><v>5</v></cell></row><row r="244"><cell r="A244" t="str"><v>PLI.SPX</v></cell><cell r="B244" t="str"><v>Plagiomnium sp.        </v></cell></row><row r="244"><cell r="E244" t="str"><v>T. Kop.    </v></cell></row><row r="244"><cell r="M244" t="str"><v>BRm</v></cell><cell r="N244"><v>5</v></cell></row><row r="245"><cell r="A245" t="str"><v>PLI.UND</v></cell><cell r="B245" t="str"><v>Plagiomnium undulatum</v></cell></row><row r="245"><cell r="E245" t="str"><v>(Hedw.) T. Kop.    </v></cell><cell r="F245" t="str"><v>Mnium undulatum Hedw.       </v></cell></row><row r="245"><cell r="M245" t="str"><v>BRm</v></cell><cell r="N245"><v>5</v></cell></row><row r="246"><cell r="A246" t="str"><v>PLA.DEN</v></cell><cell r="B246" t="str"><v>Plagiothecium denticulatum</v></cell></row><row r="246"><cell r="E246" t="str"><v>(Hedw.) B., S. & G.  </v></cell><cell r="F246" t="str"><v>Plagiothecium donnianum (Sm.) Mitt.</v></cell></row><row r="246"><cell r="M246" t="str"><v>BRm</v></cell><cell r="N246"><v>5</v></cell></row><row r="247"><cell r="A247" t="str"><v>PLA.NEM</v></cell><cell r="B247" t="str"><v>Plagiothecium nemorale</v></cell></row><row r="247"><cell r="E247" t="str"><v>(Mitt.) Jaeg.     </v></cell><cell r="F247" t="str"><v>Plagiothecium sylvaticum auct.</v></cell><cell r="G247" t="str"><v>Plagiothecium neglectum Mönk.</v></cell></row><row r="247"><cell r="M247" t="str"><v>BRm</v></cell><cell r="N247"><v>5</v></cell></row><row r="248"><cell r="A248" t="str"><v>PLA.PLA</v></cell><cell r="B248" t="str"><v>Plagiothecium platyphyllum</v></cell></row><row r="248"><cell r="E248" t="str"><v>Mönk.      </v></cell></row><row r="248"><cell r="M248" t="str"><v>BRm</v></cell><cell r="N248"><v>5</v></cell></row><row r="249"><cell r="A249" t="str"><v>PLA.SPX</v></cell><cell r="B249" t="str"><v>Plagiothecium sp.</v></cell></row><row r="249"><cell r="E249" t="str"><v>B., S. & G.</v></cell></row><row r="249"><cell r="M249" t="str"><v>BRm</v></cell><cell r="N249"><v>5</v></cell></row><row r="250"><cell r="A250" t="str"><v>PLA.UND</v></cell><cell r="B250" t="str"><v>Plagiothecium undulatum</v></cell></row><row r="250"><cell r="E250" t="str"><v>(Hedw.) B., S. & G.  </v></cell></row><row r="250"><cell r="M250" t="str"><v>BRm</v></cell><cell r="N250"><v>5</v></cell></row><row r="251"><cell r="A251" t="str"><v>RAC.ACI</v></cell><cell r="B251" t="str"><v>Racomitrium aciculare (Rhacomitrium aciculare)  </v></cell><cell r="C251"><v>18</v></cell><cell r="D251"><v>3</v></cell><cell r="E251" t="str"><v>(Hedw.) Brid.     </v></cell><cell r="F251" t="str"><v>Rhacomitrium aciculare (Hedw.) Brid.</v></cell></row><row r="251"><cell r="M251" t="str"><v>BRm</v></cell><cell r="N251"><v>5</v></cell></row><row r="251"><cell r="P251" t="str"><v>IBMR</v></cell></row><row r="252"><cell r="A252" t="str"><v>RAC.AQU</v></cell><cell r="B252" t="str"><v>Racomitrium aquaticum        </v></cell></row><row r="252"><cell r="E252" t="str"><v>(Schrad.) Brid.</v></cell><cell r="F252" t="str"><v>Racomitrium protensum (A. Braun) Hüb.</v></cell><cell r="G252" t="str"><v>Rhacomitrium aquaticum        </v></cell></row><row r="252"><cell r="M252" t="str"><v>BRm</v></cell><cell r="N252"><v>5</v></cell></row><row r="253"><cell r="A253" t="str"><v>RAC.SPX</v></cell><cell r="B253" t="str"><v>Racomitrium sp.        </v></cell></row><row r="253"><cell r="E253" t="str"><v>Brid.     </v></cell><cell r="F253" t="str"><v>Rhacomitrium sp. auct.</v></cell></row><row r="253"><cell r="M253" t="str"><v>BRm</v></cell><cell r="N253"><v>5</v></cell></row><row r="254"><cell r="A254" t="str"><v>RHZ.MAG</v></cell><cell r="B254" t="str"><v>Rhizomnium magnifolium </v></cell></row><row r="254"><cell r="E254" t="str"><v>(Horica) T. Kop.    </v></cell><cell r="F254" t="str"><v>Mnium punctatum Hedw. var. elatum Schimp.</v></cell><cell r="G254" t="str"><v>Rhizomnium perssonii T. Kop.</v></cell></row><row r="254"><cell r="M254" t="str"><v>BRm</v></cell><cell r="N254"><v>5</v></cell></row><row r="255"><cell r="A255" t="str"><v>RHZ.PSE</v></cell><cell r="B255" t="str"><v>Rhizomnium pseudopunctatum</v></cell></row><row r="255"><cell r="E255" t="str"><v>(B. & S.) T. Kop.  </v></cell><cell r="F255" t="str"><v>Mnium pseudopunctatum B. & S.</v></cell></row><row r="255"><cell r="M255" t="str"><v>BRm</v></cell><cell r="N255"><v>5</v></cell></row><row r="256"><cell r="A256" t="str"><v>RHZ.PUN</v></cell><cell r="B256" t="str"><v>Rhizomnium punctatum</v></cell></row><row r="256"><cell r="E256" t="str"><v>(Hedw.) T. Kop.</v></cell><cell r="F256" t="str"><v>Mnium punctatum Hedw. var. punctatum Hedw.</v></cell></row><row r="256"><cell r="M256" t="str"><v>BRm</v></cell><cell r="N256"><v>5</v></cell></row><row r="257"><cell r="A257" t="str"><v>RHZ.SPX</v></cell><cell r="B257" t="str"><v>Rhizomnium sp.        </v></cell></row><row r="257"><cell r="E257" t="str"><v>T. Kop.</v></cell></row><row r="257"><cell r="M257" t="str"><v>BRm</v></cell><cell r="N257"><v>5</v></cell></row><row r="258"><cell r="A258" t="str"><v>RHY.ALO</v></cell><cell r="B258" t="str"><v>Rhynchostegium alopecuroides</v></cell></row><row r="258"><cell r="E258" t="str"><v>(Brid.) A.J.E. Sm.    </v></cell><cell r="F258" t="str"><v>Rhynchostegium lusitanicum (Schimp.) A.J.E. Sm.</v></cell><cell r="G258" t="str"><v>Hygrohypnum lusitanicum (Schimp.) Corb.</v></cell><cell r="H258" t="str"><v>Eurhynchium alopecuroides (Brid.) P. Rich. & Wallace</v></cell></row><row r="258"><cell r="M258" t="str"><v>BRm</v></cell><cell r="N258"><v>5</v></cell></row><row r="259"><cell r="A259" t="str"><v>RHY.RIP</v></cell><cell r="B259" t="str"><v>Rhynchostegium riparioides (Platyhypnidium rusciforme)</v></cell><cell r="C259"><v>12</v></cell><cell r="D259"><v>1</v></cell><cell r="E259" t="str"><v>(Hedw.) Card.</v></cell><cell r="F259" t="str"><v>Platyhypnidium rusciforme Fleisch.</v></cell><cell r="G259" t="str"><v>Rhynchostegium rusciforme B., S. & G.</v></cell><cell r="H259" t="str"><v>Platyhypnidium riparioides (Hedw.) Dix.</v></cell><cell r="I259" t="str"><v>Eurynchium riparioides (Hedw.) P. Rich.</v></cell></row><row r="259"><cell r="M259" t="str"><v>BRm</v></cell><cell r="N259"><v>5</v></cell></row><row r="259"><cell r="P259" t="str"><v>IBMR</v></cell></row><row r="260"><cell r="A260" t="str"><v>RHY.SPX</v></cell><cell r="B260" t="str"><v>Rhynchostegium sp.</v></cell></row><row r="260"><cell r="E260" t="str"><v>B., S. & G.  </v></cell><cell r="F260" t="str"><v>Platyhypnidium sp. Fleisch.</v></cell></row><row r="260"><cell r="M260" t="str"><v>BRm</v></cell><cell r="N260"><v>5</v></cell></row><row r="261"><cell r="A261" t="str"><v>SCS.AGA</v></cell><cell r="B261" t="str"><v>Schistidium agassizii</v></cell></row><row r="261"><cell r="E261" t="str"><v>Sull. & Lesq.    </v></cell><cell r="F261" t="str"><v>Grimmia agassizii (Sull. & Lesq.) Jaeg.</v></cell><cell r="G261" t="str"><v>Grimmia alpicola Hedw.</v></cell><cell r="H261" t="str"><v>Schistidium alpicola (Hedw.) Limpr.</v></cell></row><row r="261"><cell r="M261" t="str"><v>BRm</v></cell><cell r="N261"><v>5</v></cell></row><row r="262"><cell r="A262" t="str"><v>SCS.RIV</v></cell><cell r="B262" t="str"><v>Schistidium rivulare        </v></cell><cell r="C262"><v>15</v></cell><cell r="D262"><v>3</v></cell><cell r="E262" t="str"><v>(Brid.) Podp.</v></cell><cell r="F262" t="str"><v>Schistidium alpicola auct.</v></cell><cell r="G262" t="str"><v>Schistidium helveticum (Schkuhr) Deguchi</v></cell><cell r="H262" t="str"><v>Grimmia alpicola Auct.</v></cell></row><row r="262"><cell r="M262" t="str"><v>BRm</v></cell><cell r="N262"><v>5</v></cell></row><row r="262"><cell r="P262" t="str"><v>IBMR</v></cell></row><row r="263"><cell r="A263" t="str"><v>SCS.SPX</v></cell><cell r="B263" t="str"><v>Schistidium sp.</v></cell></row><row r="263"><cell r="E263" t="str"><v>Brid.</v></cell></row><row r="263"><cell r="M263" t="str"><v>BRm</v></cell><cell r="N263"><v>5</v></cell></row><row r="264"><cell r="A264" t="str"><v>SPH.ANG</v></cell><cell r="B264" t="str"><v>Sphagnum angustifolium </v></cell></row><row r="264"><cell r="E264" t="str"><v>(C. Jens. ex Russ.) C. Jens. </v></cell><cell r="F264" t="str"><v>Sphagnum parvifolium (Warnst.) Warnst.</v></cell><cell r="G264" t="str"><v>Sphagnum recurvum var. tenue Klinggr.</v></cell></row><row r="264"><cell r="M264" t="str"><v>BRm</v></cell><cell r="N264"><v>5</v></cell></row><row r="265"><cell r="A265" t="str"><v>SPH.CAP</v></cell><cell r="B265" t="str"><v>Sphagnum capillifolium</v></cell></row><row r="265"><cell r="E265" t="str"><v>(Ehrh.) Hedw.     </v></cell><cell r="F265" t="str"><v>Sphagnum acutifolium Ehrh. ex Schrad.</v></cell><cell r="G265" t="str"><v>Sphagnum capillaceum (Weiss) Schrank</v></cell><cell r="H265" t="str"><v>Sphagnum nemoreum auct.</v></cell><cell r="I265" t="str"><v>Sphagnum subtile (Russ.) Warnst.</v></cell></row><row r="265"><cell r="M265" t="str"><v>BRm</v></cell><cell r="N265"><v>5</v></cell></row><row r="266"><cell r="A266" t="str"><v>SPH.DEN</v></cell><cell r="B266" t="str"><v>Sphagnum denticulatum (S. gr. inundatum)     </v></cell><cell r="C266"><v>20</v></cell><cell r="D266"><v>3</v></cell><cell r="E266" t="str"><v>Brid.      </v></cell><cell r="F266" t="str"><v>Sphagnum gr. inundatum</v></cell><cell r="G266" t="str"><v>Sphagnum lescurii Sull.</v></cell><cell r="H266" t="str"><v>Sphagnum auriculatum Schimp.</v></cell><cell r="I266" t="str"><v>Sphagnum rufescens (Nees & Hornsch.) Warnst.</v></cell></row><row r="266"><cell r="M266" t="str"><v>BRm</v></cell><cell r="N266"><v>5</v></cell></row><row r="266"><cell r="P266" t="str"><v>IBMR</v></cell></row><row r="267"><cell r="A267" t="str"><v>SPH.FAL</v></cell><cell r="B267" t="str"><v>Sphagnum fallax        </v></cell></row><row r="267"><cell r="E267" t="str"><v>(Klinggr.) Klinggr.   </v></cell><cell r="F267" t="str"><v>Sphagnum apiculatum Lindb.</v></cell><cell r="G267" t="str"><v>Sphagnum recurvum var. mucronatum Russ.</v></cell></row><row r="267"><cell r="M267" t="str"><v>BRm</v></cell><cell r="N267"><v>5</v></cell></row><row r="268"><cell r="A268" t="str"><v>SPH.FIM</v></cell><cell r="B268" t="str"><v>Sphagnum fimbriatum</v></cell></row><row r="268"><cell r="E268" t="str"><v>Wils.      </v></cell></row><row r="268"><cell r="M268" t="str"><v>BRm</v></cell><cell r="N268"><v>5</v></cell></row><row r="269"><cell r="A269" t="str"><v>SPH.FLE</v></cell><cell r="B269" t="str"><v>Sphagnum flexuosum</v></cell></row><row r="269"><cell r="E269" t="str"><v>Dozy & Molk.    </v></cell><cell r="F269" t="str"><v>Sphagnum amblyphyllum (Russ.) Zick.</v></cell><cell r="G269" t="str"><v>Sphagnum recurvum var. majus (Angstr. ex Warnst.) Warnst.</v></cell></row><row r="269"><cell r="M269" t="str"><v>BRm</v></cell><cell r="N269"><v>5</v></cell></row><row r="270"><cell r="A270" t="str"><v>SPH.PAL</v></cell><cell r="B270" t="str"><v>Sphagnum palustre  </v></cell><cell r="C270"><v>20</v></cell><cell r="D270"><v>3</v></cell><cell r="E270" t="str"><v>L.      </v></cell></row><row r="270"><cell r="M270" t="str"><v>BRm</v></cell><cell r="N270"><v>5</v></cell></row><row r="270"><cell r="P270" t="str"><v>IBMR</v></cell></row><row r="271"><cell r="A271" t="str"><v>SPH.PAP</v></cell><cell r="B271" t="str"><v>Sphagnum papillosum var. laeve</v></cell></row><row r="271"><cell r="E271" t="str"><v>Warnst.</v></cell><cell r="F271" t="str"><v>Sphagnum hakkodense Warnst. & Card. var. laeve</v></cell></row><row r="271"><cell r="M271" t="str"><v>BRm</v></cell><cell r="N271"><v>5</v></cell></row><row r="272"><cell r="A272" t="str"><v>SPH.SPX</v></cell><cell r="B272" t="str"><v>Sphagnum sp.        </v></cell></row><row r="272"><cell r="E272" t="str"><v>L.      </v></cell></row><row r="272"><cell r="M272" t="str"><v>BRm</v></cell><cell r="N272"><v>5</v></cell></row><row r="273"><cell r="A273" t="str"><v>SPH.SUB</v></cell><cell r="B273" t="str"><v>Sphagnum subsecundum</v></cell></row><row r="273"><cell r="E273" t="str"><v>Nees      </v></cell></row><row r="273"><cell r="M273" t="str"><v>BRm</v></cell><cell r="N273"><v>5</v></cell></row><row r="274"><cell r="A274" t="str"><v>THA.ALO</v></cell><cell r="B274" t="str"><v>Thamnobryum alopecurum (Thamnium alopecurum)</v></cell><cell r="C274"><v>15</v></cell><cell r="D274"><v>2</v></cell><cell r="E274" t="str"><v>(Hedw.) Gang.</v></cell><cell r="F274" t="str"><v>Thamnium alopecurum (Hedw.) B., S. & G.</v></cell><cell r="G274" t="str"><v>Thamnium mediterraneum (Bott.) G. Roth</v></cell></row><row r="274"><cell r="M274" t="str"><v>BRm</v></cell><cell r="N274"><v>5</v></cell></row><row r="274"><cell r="P274" t="str"><v>IBMR</v></cell></row><row r="275"><cell r="A275" t="str"><v>TOR.LAT</v></cell><cell r="B275" t="str"><v>Tortula latifolia</v></cell></row><row r="275"><cell r="E275" t="str"><v>Bruch ex Hartm.   </v></cell><cell r="F275" t="str"><v>Syntrichia latifolia (Bruch ex Hartm.) Hüb.</v></cell></row><row r="275"><cell r="M275" t="str"><v>BRm</v></cell><cell r="N275"><v>5</v></cell></row><row r="276"><cell r="B276" t="str"><v>- PTERIDOPHYTES -</v></cell></row><row r="276"><cell r="E276" t="str"><v>      </v></cell></row><row r="276"><cell r="M276" t="str"><v>PT</v></cell><cell r="N276"><v>5.9</v></cell></row><row r="276"><cell r="P276" t="str"><v>IBMR</v></cell></row><row r="277"><cell r="A277" t="str"><v>ADI.CAP</v></cell><cell r="B277" t="str"><v>Adianthum capillus veneris</v></cell></row><row r="277"><cell r="E277" t="str"><v>veneris L.     </v></cell></row><row r="277"><cell r="M277" t="str"><v>PTE</v></cell><cell r="N277"><v>6</v></cell></row><row r="278"><cell r="A278" t="str"><v>ATH.FIL</v></cell><cell r="B278" t="str"><v>Athyrium filix-femina</v></cell></row><row r="278"><cell r="E278" t="str"><v>(L.) Roth.     </v></cell></row><row r="278"><cell r="M278" t="str"><v>PTE</v></cell><cell r="N278"><v>6</v></cell></row><row r="279"><cell r="A279" t="str"><v>AZO.CAR</v></cell><cell r="B279" t="str"><v>Azolla caroliniana        </v></cell></row><row r="279"><cell r="E279" t="str"><v>      </v></cell></row><row r="279"><cell r="M279" t="str"><v>PTE</v></cell><cell r="N279"><v>6</v></cell></row><row r="280"><cell r="A280" t="str"><v>AZO.FIL</v></cell><cell r="B280" t="str"><v>Azolla filiculoides</v></cell><cell r="C280"><v>6</v></cell><cell r="D280"><v>3</v></cell><cell r="E280" t="str"><v>lam.      </v></cell></row><row r="280"><cell r="M280" t="str"><v>PTE</v></cell><cell r="N280"><v>6</v></cell></row><row r="280"><cell r="P280" t="str"><v>IBMR</v></cell></row><row r="281"><cell r="A281" t="str"><v>AZO.SPX</v></cell><cell r="B281" t="str"><v>Azolla sp.</v></cell></row><row r="281"><cell r="E281" t="str"><v>      </v></cell></row><row r="281"><cell r="M281" t="str"><v>PTE</v></cell><cell r="N281"><v>6</v></cell></row><row r="282"><cell r="A282" t="str"><v>BLE.SPI</v></cell><cell r="B282" t="str"><v>Blechnum spicant</v></cell></row><row r="282"><cell r="E282" t="str"><v>(L.) Roth.     </v></cell></row><row r="282"><cell r="M282" t="str"><v>PTE</v></cell><cell r="N282"><v>6</v></cell></row><row r="283"><cell r="A283" t="str"><v>CEA.THA</v></cell><cell r="B283" t="str"><v>Ceratopteris thalictroides        </v></cell></row><row r="283"><cell r="E283" t="str"><v>      </v></cell></row><row r="283"><cell r="M283" t="str"><v>PTE</v></cell><cell r="N283"><v>6</v></cell></row><row r="284"><cell r="A284" t="str"><v>DRY.CAR</v></cell><cell r="B284" t="str"><v>Dryopteris carthusiana</v></cell></row><row r="284"><cell r="E284" t="str"><v>(Villar) H.P. Fuschs    </v></cell></row><row r="284"><cell r="M284" t="str"><v>PTE</v></cell><cell r="N284"><v>6</v></cell></row><row r="285"><cell r="A285" t="str"><v>EQU.ARV</v></cell><cell r="B285" t="str"><v>Equisetum arvense   </v></cell></row><row r="285"><cell r="E285" t="str"><v>L.      </v></cell></row><row r="285"><cell r="M285" t="str"><v>PTE</v></cell><cell r="N285"><v>6</v></cell></row><row r="286"><cell r="A286" t="str"><v>EQU.FLU</v></cell><cell r="B286" t="str"><v>Equisetum fluviatile</v></cell><cell r="C286"><v>12</v></cell><cell r="D286"><v>2</v></cell><cell r="E286" t="str"><v>L.      </v></cell><cell r="F286" t="str"><v>Equisetum limosum</v></cell></row><row r="286"><cell r="M286" t="str"><v>PTE</v></cell><cell r="N286"><v>6</v></cell></row><row r="286"><cell r="P286" t="str"><v>IBMR</v></cell></row><row r="287"><cell r="A287" t="str"><v>EQU.MAX</v></cell><cell r="B287" t="str"><v>Equisetum maximum</v></cell></row><row r="287"><cell r="E287" t="str"><v>Lam.      </v></cell></row><row r="287"><cell r="M287" t="str"><v>PTE</v></cell><cell r="N287"><v>6</v></cell></row><row r="288"><cell r="A288" t="str"><v>EQU.PAL</v></cell><cell r="B288" t="str"><v>Equisetum palustre</v></cell><cell r="C288"><v>10</v></cell><cell r="D288"><v>1</v></cell><cell r="E288" t="str"><v>L.      </v></cell></row><row r="288"><cell r="M288" t="str"><v>PTE</v></cell><cell r="N288"><v>6</v></cell></row><row r="288"><cell r="P288" t="str"><v>IBMR</v></cell></row><row r="289"><cell r="A289" t="str"><v>EQU.PRA</v></cell><cell r="B289" t="str"><v>Equisetum pratense        </v></cell></row><row r="289"><cell r="E289" t="str"><v>      </v></cell></row><row r="289"><cell r="M289" t="str"><v>PTE</v></cell><cell r="N289"><v>6</v></cell></row><row r="290"><cell r="A290" t="str"><v>EQU.SPX</v></cell><cell r="B290" t="str"><v>Equisetum sp.</v></cell></row><row r="290"><cell r="E290" t="str"><v>      </v></cell></row><row r="290"><cell r="M290" t="str"><v>PTE</v></cell><cell r="N290"><v>6</v></cell></row><row r="291"><cell r="A291" t="str"><v>EQU.LIT</v></cell><cell r="B291" t="str"><v>Equisetum x litorale</v></cell></row><row r="291"><cell r="E291" t="str"><v>Kuhlew ex Rupr.    </v></cell></row><row r="291"><cell r="M291" t="str"><v>PTE</v></cell><cell r="N291"><v>6</v></cell></row><row r="292"><cell r="A292" t="str"><v>ISO.AZO</v></cell><cell r="B292" t="str"><v>Isoetes azorica        </v></cell></row><row r="292"><cell r="E292" t="str"><v>      </v></cell></row><row r="292"><cell r="M292" t="str"><v>PTE</v></cell><cell r="N292"><v>6</v></cell></row><row r="293"><cell r="A293" t="str"><v>ISO.BOR</v></cell><cell r="B293" t="str"><v>Isoetes boryana        </v></cell></row><row r="293"><cell r="E293" t="str"><v>      </v></cell></row><row r="293"><cell r="M293" t="str"><v>PTE</v></cell><cell r="N293"><v>6</v></cell></row><row r="294"><cell r="A294" t="str"><v>ISO.BRO</v></cell><cell r="B294" t="str"><v>Isoetes brochonii        </v></cell></row><row r="294"><cell r="E294" t="str"><v>      </v></cell></row><row r="294"><cell r="M294" t="str"><v>PTE</v></cell><cell r="N294"><v>6</v></cell></row><row r="295"><cell r="A295" t="str"><v>ISO.ECH</v></cell><cell r="B295" t="str"><v>Isoetes echinospora       </v></cell></row><row r="295"><cell r="E295" t="str"><v>Durieu      </v></cell></row><row r="295"><cell r="M295" t="str"><v>PTE</v></cell><cell r="N295"><v>6</v></cell></row><row r="296"><cell r="A296" t="str"><v>ISO.LAC</v></cell><cell r="B296" t="str"><v>Isoetes lacustris.       </v></cell></row><row r="296"><cell r="E296" t="str"><v>L.      </v></cell></row><row r="296"><cell r="M296" t="str"><v>PTE</v></cell><cell r="N296"><v>6</v></cell></row><row r="297"><cell r="A297" t="str"><v>ISO.LON</v></cell><cell r="B297" t="str"><v>Isoetes longissima        </v></cell></row><row r="297"><cell r="E297" t="str"><v>      </v></cell></row><row r="297"><cell r="M297" t="str"><v>PTE</v></cell><cell r="N297"><v>6</v></cell></row><row r="298"><cell r="A298" t="str"><v>ISO.MAL</v></cell><cell r="B298" t="str"><v>Isoetes malinverniana        </v></cell></row><row r="298"><cell r="E298" t="str"><v>      </v></cell></row><row r="298"><cell r="M298" t="str"><v>PTE</v></cell><cell r="N298"><v>6</v></cell></row><row r="299"><cell r="A299" t="str"><v>ISO.SPX</v></cell><cell r="B299" t="str"><v>Isoetes sp.</v></cell></row><row r="299"><cell r="E299" t="str"><v>      </v></cell></row><row r="299"><cell r="M299" t="str"><v>PTE</v></cell><cell r="N299"><v>6</v></cell></row><row r="300"><cell r="A300" t="str"><v>ISO.VEL</v></cell><cell r="B300" t="str"><v>Isoetes velata        </v></cell></row><row r="300"><cell r="E300" t="str"><v>      </v></cell></row><row r="300"><cell r="M300" t="str"><v>PTE</v></cell><cell r="N300"><v>6</v></cell></row><row r="301"><cell r="A301" t="str"><v>ISO.AST</v></cell><cell r="B301" t="str"><v>Isoetes velata subsp. asturicense      </v></cell></row><row r="301"><cell r="E301" t="str"><v>      </v></cell></row><row r="301"><cell r="M301" t="str"><v>PTE</v></cell><cell r="N301"><v>6</v></cell></row><row r="302"><cell r="A302" t="str"><v>ISO.TEG</v></cell><cell r="B302" t="str"><v>Isoetes velata subsp. tegulensis      </v></cell></row><row r="302"><cell r="E302" t="str"><v>      </v></cell></row><row r="302"><cell r="M302" t="str"><v>PTE</v></cell><cell r="N302"><v>6</v></cell></row><row r="303"><cell r="A303" t="str"><v>ISO.TEN</v></cell><cell r="B303" t="str"><v>Isoetes velata subsp. tenuissima      </v></cell></row><row r="303"><cell r="E303" t="str"><v>      </v></cell></row><row r="303"><cell r="M303" t="str"><v>PTE</v></cell><cell r="N303"><v>6</v></cell></row><row r="304"><cell r="A304" t="str"><v>ISO.VEV</v></cell><cell r="B304" t="str"><v>Isoetes velata subsp. velata      </v></cell></row><row r="304"><cell r="E304" t="str"><v>      </v></cell></row><row r="304"><cell r="M304" t="str"><v>PTE</v></cell><cell r="N304"><v>6</v></cell></row><row r="305"><cell r="A305" t="str"><v>OSM.REG</v></cell><cell r="B305" t="str"><v>Osmunda regalis        </v></cell></row><row r="305"><cell r="E305" t="str"><v>      </v></cell></row><row r="305"><cell r="M305" t="str"><v>PTE</v></cell><cell r="N305"><v>6</v></cell></row><row r="306"><cell r="A306" t="str"><v>PIL.GLO</v></cell><cell r="B306" t="str"><v>Pilularia globulifera   </v></cell></row><row r="306"><cell r="E306" t="str"><v>L.      </v></cell></row><row r="306"><cell r="M306" t="str"><v>PTE</v></cell><cell r="N306"><v>6</v></cell></row><row r="307"><cell r="A307" t="str"><v>PIL.MIN</v></cell><cell r="B307" t="str"><v>Pilularia minuta        </v></cell></row><row r="307"><cell r="E307" t="str"><v>      </v></cell></row><row r="307"><cell r="M307" t="str"><v>PTE</v></cell><cell r="N307"><v>6</v></cell></row><row r="308"><cell r="A308" t="str"><v>SAL.NAT</v></cell><cell r="B308" t="str"><v>Salvinia natans</v></cell></row><row r="308"><cell r="E308" t="str"><v>(L.) All.     </v></cell></row><row r="308"><cell r="M308" t="str"><v>PTE</v></cell><cell r="N308"><v>6</v></cell></row><row r="309"><cell r="A309" t="str"><v>THE.PAL</v></cell><cell r="B309" t="str"><v>Thelypteris palustris        </v></cell></row><row r="309"><cell r="E309" t="str"><v>      </v></cell></row><row r="309"><cell r="M309" t="str"><v>PTE</v></cell><cell r="N309"><v>6</v></cell></row><row r="310"><cell r="B310" t="str"><v>- PHANEROGAMES -</v></cell></row><row r="310"><cell r="E310" t="str"><v>      </v></cell></row><row r="310"><cell r="M310" t="str"><v>PH</v></cell><cell r="N310"><v>6.8</v></cell></row><row r="310"><cell r="P310" t="str"><v>IBMR</v></cell></row><row r="311"><cell r="B311" t="str"><v>- HYDROPHYTES</v></cell></row><row r="311"><cell r="M311" t="str"><v>PH</v></cell><cell r="N311"><v>7</v></cell></row><row r="311"><cell r="P311" t="str"><v>IBMR</v></cell></row><row r="312"><cell r="A312" t="str"><v>ALD.VES</v></cell><cell r="B312" t="str"><v>Aldrovanda vesiculosa        </v></cell></row><row r="312"><cell r="E312" t="str"><v>      </v></cell></row><row r="312"><cell r="M312" t="str"><v>PHy</v></cell><cell r="N312"><v>7</v></cell><cell r="O312" t="str"><v>HYD</v></cell></row><row r="313"><cell r="A313" t="str"><v>ALT.FIL</v></cell><cell r="B313" t="str"><v>Althenia filiformis        </v></cell></row><row r="313"><cell r="E313" t="str"><v>      </v></cell></row><row r="313"><cell r="M313" t="str"><v>PHy</v></cell><cell r="N313"><v>7</v></cell><cell r="O313" t="str"><v>HYD</v></cell></row><row r="314"><cell r="A314" t="str"><v>ALT.ORI</v></cell><cell r="B314" t="str"><v>Althenia orientalis        </v></cell></row><row r="314"><cell r="E314" t="str"><v>      </v></cell></row><row r="314"><cell r="M314" t="str"><v>PHy</v></cell><cell r="N314"><v>7</v></cell><cell r="O314" t="str"><v>HYD</v></cell></row><row r="315"><cell r="A315" t="str"><v>API.INU</v></cell><cell r="B315" t="str"><v>Apium inundatum (Sium inundatum)</v></cell><cell r="C315"><v>17</v></cell><cell r="D315"><v>3</v></cell><cell r="E315" t="str"><v>L.      </v></cell><cell r="F315" t="str"><v>Sium inundatum</v></cell></row><row r="315"><cell r="M315" t="str"><v>PHy</v></cell><cell r="N315"><v>7</v></cell><cell r="O315" t="str"><v>HYD</v></cell><cell r="P315" t="str"><v>IBMR</v></cell></row><row r="316"><cell r="A316" t="str"><v>API.NOD</v></cell><cell r="B316" t="str"><v>Apium nodiflorum (Sium nodiflorum)</v></cell><cell r="C316"><v>10</v></cell><cell r="D316"><v>1</v></cell><cell r="E316" t="str"><v>(L.) Lag.     </v></cell><cell r="F316" t="str"><v>Sium nodiflorum</v></cell><cell r="G316" t="str"><v>Helosciadium nodiflorum</v></cell></row><row r="316"><cell r="M316" t="str"><v>PHy</v></cell><cell r="N316"><v>7</v></cell><cell r="O316" t="str"><v>HYD</v></cell><cell r="P316" t="str"><v>IBMR</v></cell></row><row r="317"><cell r="A317" t="str"><v>APO.DIS</v></cell><cell r="B317" t="str"><v>Aponogeton distachyos        </v></cell></row><row r="317"><cell r="E317" t="str"><v>      </v></cell></row><row r="317"><cell r="M317" t="str"><v>PHy</v></cell><cell r="N317"><v>7</v></cell><cell r="O317" t="str"><v>HYD</v></cell></row><row r="318"><cell r="A318" t="str"><v>CAB.CAR</v></cell><cell r="B318" t="str"><v>Cabomba caroliniana</v></cell></row><row r="318"><cell r="E318" t="str"><v>Gray      </v></cell></row><row r="318"><cell r="M318" t="str"><v>PHy</v></cell><cell r="N318"><v>7</v></cell><cell r="O318" t="str"><v>HYD</v></cell></row><row r="319"><cell r="A319" t="str"><v>CAD.PAR</v></cell><cell r="B319" t="str"><v>Caldesia parnassifolia        </v></cell></row><row r="319"><cell r="E319" t="str"><v>      </v></cell></row><row r="319"><cell r="M319" t="str"><v>PHy</v></cell><cell r="N319"><v>7</v></cell><cell r="O319" t="str"><v>HYD</v></cell></row><row r="320"><cell r="A320" t="str"><v>CAL.SPX</v></cell><cell r="B320" t="str"><v>Callitiriche sp.        </v></cell></row><row r="320"><cell r="E320" t="str"><v>      </v></cell></row><row r="320"><cell r="M320" t="str"><v>PHy</v></cell><cell r="N320"><v>7</v></cell><cell r="O320" t="str"><v>HYD</v></cell></row><row r="321"><cell r="A321" t="str"><v>CAL.BRU</v></cell><cell r="B321" t="str"><v>Callitriche brutia</v></cell></row><row r="321"><cell r="E321" t="str"><v>Pet.      </v></cell></row><row r="321"><cell r="M321" t="str"><v>PHy</v></cell><cell r="N321"><v>7</v></cell><cell r="O321" t="str"><v>HYD</v></cell></row><row r="322"><cell r="A322" t="str"><v>CAL.COP</v></cell><cell r="B322" t="str"><v>Callitriche cophocarpa</v></cell></row><row r="322"><cell r="E322" t="str"><v>Sendtn.      </v></cell></row><row r="322"><cell r="M322" t="str"><v>PHy</v></cell><cell r="N322"><v>7</v></cell><cell r="O322" t="str"><v>HYD</v></cell></row><row r="323"><cell r="A323" t="str"><v>CAL.CRI</v></cell><cell r="B323" t="str"><v>Callitriche cribrosa        </v></cell></row><row r="323"><cell r="E323" t="str"><v>      </v></cell></row><row r="323"><cell r="M323" t="str"><v>PHy</v></cell><cell r="N323"><v>7</v></cell><cell r="O323" t="str"><v>HYD</v></cell></row><row r="324"><cell r="A324" t="str"><v>CAL.HAM</v></cell><cell r="B324" t="str"><v>Callitriche hamulata</v></cell><cell r="C324"><v>12</v></cell><cell r="D324"><v>1</v></cell><cell r="E324" t="str"><v>Kützing ex Koch    </v></cell><cell r="F324" t="str"><v>Callitriche intermedia subsp. hamulata</v></cell></row><row r="324"><cell r="M324" t="str"><v>PHy</v></cell><cell r="N324"><v>7</v></cell><cell r="O324" t="str"><v>HYD</v></cell><cell r="P324" t="str"><v>IBMR</v></cell></row><row r="325"><cell r="A325" t="str"><v>CAL.HER</v></cell><cell r="B325" t="str"><v>Callitriche hermaphroditica      </v></cell></row><row r="325"><cell r="E325" t="str"><v>L.      </v></cell></row><row r="325"><cell r="M325" t="str"><v>PHy</v></cell><cell r="N325"><v>7</v></cell><cell r="O325" t="str"><v>HYD</v></cell></row><row r="326"><cell r="A326" t="str"><v>CAL.MAC</v></cell><cell r="B326" t="str"><v>Callitriche hermaphroditica var microcarpa      </v></cell></row><row r="326"><cell r="E326" t="str"><v>      </v></cell></row><row r="326"><cell r="M326" t="str"><v>PHy</v></cell><cell r="N326"><v>7</v></cell><cell r="O326" t="str"><v>HYD</v></cell></row><row r="327"><cell r="A327" t="str"><v>CAL.MIC</v></cell><cell r="B327" t="str"><v>Callitriche hermaphroditica var. macrocarpa      </v></cell></row><row r="327"><cell r="E327" t="str"><v>      </v></cell></row><row r="327"><cell r="M327" t="str"><v>PHy</v></cell><cell r="N327"><v>7</v></cell><cell r="O327" t="str"><v>HYD</v></cell></row><row r="328"><cell r="A328" t="str"><v>CAL.LEN</v></cell><cell r="B328" t="str"><v>Callitriche lenisulca        </v></cell></row><row r="328"><cell r="E328" t="str"><v>      </v></cell></row><row r="328"><cell r="M328" t="str"><v>PHy</v></cell><cell r="N328"><v>7</v></cell><cell r="O328" t="str"><v>HYD</v></cell></row><row r="329"><cell r="A329" t="str"><v>CAL.LUS</v></cell><cell r="B329" t="str"><v>Callitriche lusitanica        </v></cell></row><row r="329"><cell r="E329" t="str"><v>      </v></cell></row><row r="329"><cell r="M329" t="str"><v>PHy</v></cell><cell r="N329"><v>7</v></cell><cell r="O329" t="str"><v>HYD</v></cell></row><row r="330"><cell r="A330" t="str"><v>CAL.OBT</v></cell><cell r="B330" t="str"><v>Callitriche obtusangula</v></cell><cell r="C330"><v>8</v></cell><cell r="D330"><v>2</v></cell><cell r="E330" t="str"><v>Le Gall     </v></cell></row><row r="330"><cell r="M330" t="str"><v>PHy</v></cell><cell r="N330"><v>7</v></cell><cell r="O330" t="str"><v>HYD</v></cell><cell r="P330" t="str"><v>IBMR</v></cell></row><row r="331"><cell r="A331" t="str"><v>CAL.PAL</v></cell><cell r="B331" t="str"><v>Callitriche palustris</v></cell></row><row r="331"><cell r="E331" t="str"><v>L.      </v></cell></row><row r="331"><cell r="M331" t="str"><v>PHy</v></cell><cell r="N331"><v>7</v></cell><cell r="O331" t="str"><v>HYD</v></cell></row><row r="332"><cell r="A332" t="str"><v>CAL.PLA</v></cell><cell r="B332" t="str"><v>Callitriche platycarpa</v></cell><cell r="C332"><v>10</v></cell><cell r="D332"><v>1</v></cell><cell r="E332" t="str"><v>Kützing      </v></cell></row><row r="332"><cell r="M332" t="str"><v>PHy</v></cell><cell r="N332"><v>7</v></cell><cell r="O332" t="str"><v>HYD</v></cell><cell r="P332" t="str"><v>IBMR</v></cell></row><row r="333"><cell r="A333" t="str"><v>CAL.PUL</v></cell><cell r="B333" t="str"><v>Callitriche pulchra        </v></cell></row><row r="333"><cell r="E333" t="str"><v>      </v></cell></row><row r="333"><cell r="M333" t="str"><v>PHy</v></cell><cell r="N333"><v>7</v></cell><cell r="O333" t="str"><v>HYD</v></cell></row><row r="334"><cell r="A334" t="str"><v>CAL.REG</v></cell><cell r="B334" t="str"><v>Callitriche regis-jubae        </v></cell></row><row r="334"><cell r="E334" t="str"><v>      </v></cell></row><row r="334"><cell r="M334" t="str"><v>PHy</v></cell><cell r="N334"><v>7</v></cell><cell r="O334" t="str"><v>HYD</v></cell></row><row r="335"><cell r="A335" t="str"><v>CAL.STA</v></cell><cell r="B335" t="str"><v>Callitriche stagnalis</v></cell><cell r="C335"><v>12</v></cell><cell r="D335"><v>2</v></cell><cell r="E335" t="str"><v>Scop.      </v></cell></row><row r="335"><cell r="M335" t="str"><v>PHy</v></cell><cell r="N335"><v>7</v></cell><cell r="O335" t="str"><v>HYD</v></cell><cell r="P335" t="str"><v>IBMR</v></cell></row><row r="336"><cell r="A336" t="str"><v>CAL.FIM</v></cell><cell r="B336" t="str"><v>Callitriche truncata subsp. fimbriata      </v></cell></row><row r="336"><cell r="E336" t="str"><v>      </v></cell></row><row r="336"><cell r="M336" t="str"><v>PHy</v></cell><cell r="N336"><v>7</v></cell><cell r="O336" t="str"><v>HYD</v></cell></row><row r="337"><cell r="A337" t="str"><v>CAL.OCC</v></cell><cell r="B337" t="str"><v>Callitriche truncata subsp. occidentalis</v></cell><cell r="C337"><v>10</v></cell><cell r="D337"><v>2</v></cell><cell r="E337" t="str"><v>      </v></cell><cell r="F337" t="str"><v>Callitriche truncata subsp. truncata</v></cell></row><row r="337"><cell r="M337" t="str"><v>PHy</v></cell><cell r="N337"><v>7</v></cell><cell r="O337" t="str"><v>HYD</v></cell><cell r="P337" t="str"><v>IBMR</v></cell></row><row r="338"><cell r="A338" t="str"><v>CAL.VIG</v></cell><cell r="B338" t="str"><v>Callitriche x vigens       </v></cell></row><row r="338"><cell r="E338" t="str"><v>      </v></cell></row><row r="338"><cell r="M338" t="str"><v>PHy</v></cell><cell r="N338"><v>7</v></cell><cell r="O338" t="str"><v>HYD</v></cell></row><row r="339"><cell r="A339" t="str"><v>CER.DEM</v></cell><cell r="B339" t="str"><v>Ceratophyllum demersum    </v></cell><cell r="C339"><v>5</v></cell><cell r="D339"><v>2</v></cell><cell r="E339" t="str"><v>L.      </v></cell></row><row r="339"><cell r="M339" t="str"><v>PHy</v></cell><cell r="N339"><v>7</v></cell><cell r="O339" t="str"><v>HYD</v></cell><cell r="P339" t="str"><v>IBMR</v></cell></row><row r="340"><cell r="A340" t="str"><v>CER.API</v></cell><cell r="B340" t="str"><v>Ceratophyllum demersum var. apiculatum      </v></cell></row><row r="340"><cell r="E340" t="str"><v>      </v></cell></row><row r="340"><cell r="M340" t="str"><v>PHy</v></cell><cell r="N340"><v>7</v></cell><cell r="O340" t="str"><v>HYD</v></cell></row><row r="341"><cell r="A341" t="str"><v>CER.INE</v></cell><cell r="B341" t="str"><v>Ceratophyllum demersum var. inerme      </v></cell></row><row r="341"><cell r="E341" t="str"><v>      </v></cell></row><row r="341"><cell r="M341" t="str"><v>PHy</v></cell><cell r="N341"><v>7</v></cell><cell r="O341" t="str"><v>HYD</v></cell></row><row r="342"><cell r="A342" t="str"><v>CER.MUR</v></cell><cell r="B342" t="str"><v>Ceratophyllum muricatum        </v></cell></row><row r="342"><cell r="E342" t="str"><v>      </v></cell></row><row r="342"><cell r="M342" t="str"><v>PHy</v></cell><cell r="N342"><v>7</v></cell><cell r="O342" t="str"><v>HYD</v></cell></row><row r="343"><cell r="A343" t="str"><v>CER.PLA</v></cell><cell r="B343" t="str"><v>Ceratophyllum platyacanthum        </v></cell></row><row r="343"><cell r="E343" t="str"><v>      </v></cell></row><row r="343"><cell r="M343" t="str"><v>PHy</v></cell><cell r="N343"><v>7</v></cell><cell r="O343" t="str"><v>HYD</v></cell></row><row r="344"><cell r="A344" t="str"><v>CER.SPX</v></cell><cell r="B344" t="str"><v>Ceratophyllum sp.</v></cell></row><row r="344"><cell r="E344" t="str"><v>      </v></cell></row><row r="344"><cell r="M344" t="str"><v>PHy</v></cell><cell r="N344"><v>7</v></cell><cell r="O344" t="str"><v>HYD</v></cell></row><row r="345"><cell r="A345" t="str"><v>CER.SUB</v></cell><cell r="B345" t="str"><v>Ceratophyllum submersum</v></cell><cell r="C345"><v>2</v></cell><cell r="D345"><v>3</v></cell><cell r="E345" t="str"><v>L.      </v></cell></row><row r="345"><cell r="M345" t="str"><v>PHy</v></cell><cell r="N345"><v>7</v></cell><cell r="O345" t="str"><v>HYD</v></cell><cell r="P345" t="str"><v>IBMR</v></cell></row><row r="346"><cell r="A346" t="str"><v>EGE.DEN</v></cell><cell r="B346" t="str"><v>Egeria densa       </v></cell></row><row r="346"><cell r="E346" t="str"><v>Planch      </v></cell></row><row r="346"><cell r="M346" t="str"><v>PHy</v></cell><cell r="N346"><v>7</v></cell><cell r="O346" t="str"><v>HYD</v></cell></row><row r="347"><cell r="A347" t="str"><v>EIC.CRA</v></cell><cell r="B347" t="str"><v>Eichhornia crassipes        </v></cell></row><row r="347"><cell r="E347" t="str"><v>      </v></cell></row><row r="347"><cell r="M347" t="str"><v>PHy</v></cell><cell r="N347"><v>7</v></cell><cell r="O347" t="str"><v>HYD</v></cell></row><row r="348"><cell r="A348" t="str"><v>EIC.SPX</v></cell><cell r="B348" t="str"><v>Eichhornia sp.</v></cell></row><row r="348"><cell r="E348" t="str"><v>      </v></cell></row><row r="348"><cell r="M348" t="str"><v>PHy</v></cell><cell r="N348"><v>7</v></cell><cell r="O348" t="str"><v>HYD</v></cell></row><row r="349"><cell r="A349" t="str"><v>ELO.CAL</v></cell><cell r="B349" t="str"><v>Elodea callitrichoides        </v></cell></row><row r="349"><cell r="E349" t="str"><v>      </v></cell></row><row r="349"><cell r="M349" t="str"><v>PHy</v></cell><cell r="N349"><v>7</v></cell><cell r="O349" t="str"><v>HYD</v></cell></row><row r="350"><cell r="A350" t="str"><v>ELO.CAN</v></cell><cell r="B350" t="str"><v>Elodea canadensis</v></cell><cell r="C350"><v>10</v></cell><cell r="D350"><v>2</v></cell><cell r="E350" t="str"><v>Michx      </v></cell></row><row r="350"><cell r="M350" t="str"><v>PHy</v></cell><cell r="N350"><v>7</v></cell><cell r="O350" t="str"><v>HYD</v></cell><cell r="P350" t="str"><v>IBMR</v></cell></row><row r="351"><cell r="A351" t="str"><v>ELO.ERN</v></cell><cell r="B351" t="str"><v>Elodea ernstiae        </v></cell></row><row r="351"><cell r="E351" t="str"><v>      </v></cell></row><row r="351"><cell r="M351" t="str"><v>PHy</v></cell><cell r="N351"><v>7</v></cell><cell r="O351" t="str"><v>HYD</v></cell></row><row r="352"><cell r="A352" t="str"><v>ELO.NUT</v></cell><cell r="B352" t="str"><v>Elodea nuttallii</v></cell><cell r="C352"><v>8</v></cell><cell r="D352"><v>2</v></cell><cell r="E352" t="str"><v>(Planchon) St John    </v></cell></row><row r="352"><cell r="M352" t="str"><v>PHy</v></cell><cell r="N352"><v>7</v></cell><cell r="O352" t="str"><v>HYD</v></cell><cell r="P352" t="str"><v>IBMR</v></cell></row><row r="353"><cell r="A353" t="str"><v>ELO.SPX</v></cell><cell r="B353" t="str"><v>Elodea sp.</v></cell></row><row r="353"><cell r="E353" t="str"><v>      </v></cell></row><row r="353"><cell r="M353" t="str"><v>PHy</v></cell><cell r="N353"><v>7</v></cell><cell r="O353" t="str"><v>HYD</v></cell></row><row r="354"><cell r="A354" t="str"><v>GRO.DEN</v></cell><cell r="B354" t="str"><v>Groenlandia densa (Potamogeton densus)</v></cell><cell r="C354"><v>11</v></cell><cell r="D354"><v>2</v></cell><cell r="E354" t="str"><v>(L.) Fourr.     </v></cell><cell r="F354" t="str"><v>Potamogeton densus</v></cell></row><row r="354"><cell r="M354" t="str"><v>PHy</v></cell><cell r="N354"><v>7</v></cell><cell r="O354" t="str"><v>HYD</v></cell><cell r="P354" t="str"><v>IBMR</v></cell></row><row r="355"><cell r="A355" t="str"><v>HEE.REN</v></cell><cell r="B355" t="str"><v>Heteranthera reniformis        </v></cell></row><row r="355"><cell r="E355" t="str"><v>      </v></cell></row><row r="355"><cell r="M355" t="str"><v>PHy</v></cell><cell r="N355"><v>7</v></cell><cell r="O355" t="str"><v>HYD</v></cell></row><row r="356"><cell r="A356" t="str"><v>HIP.SPX</v></cell><cell r="B356" t="str"><v>Hippuris sp.</v></cell></row><row r="356"><cell r="E356" t="str"><v>      </v></cell></row><row r="356"><cell r="M356" t="str"><v>PHy</v></cell><cell r="N356"><v>7</v></cell><cell r="O356" t="str"><v>HYD</v></cell></row><row r="357"><cell r="A357" t="str"><v>HIP.VUL</v></cell><cell r="B357" t="str"><v>Hippuris vulgaris</v></cell><cell r="C357"><v>12</v></cell><cell r="D357"><v>2</v></cell><cell r="E357" t="str"><v>L.      </v></cell></row><row r="357"><cell r="M357" t="str"><v>PHy</v></cell><cell r="N357"><v>7</v></cell><cell r="O357" t="str"><v>HYD</v></cell><cell r="P357" t="str"><v>IBMR</v></cell></row><row r="358"><cell r="A358" t="str"><v>HOT.PAL</v></cell><cell r="B358" t="str"><v>Hottonia palustris</v></cell><cell r="C358"><v>12</v></cell><cell r="D358"><v>2</v></cell><cell r="E358" t="str"><v>L.      </v></cell></row><row r="358"><cell r="M358" t="str"><v>PHy</v></cell><cell r="N358"><v>7</v></cell><cell r="O358" t="str"><v>HYD</v></cell><cell r="P358" t="str"><v>IBMR</v></cell></row><row r="359"><cell r="A359" t="str"><v>HYL.VER</v></cell><cell r="B359" t="str"><v>Hydrilla verticillata        </v></cell></row><row r="359"><cell r="E359" t="str"><v>      </v></cell></row><row r="359"><cell r="M359" t="str"><v>PHy</v></cell><cell r="N359"><v>7</v></cell><cell r="O359" t="str"><v>HYD</v></cell></row><row r="360"><cell r="A360" t="str"><v>HYD.MOR</v></cell><cell r="B360" t="str"><v>Hydrocharis morsus-ranae  </v></cell><cell r="C360"><v>11</v></cell><cell r="D360"><v>3</v></cell><cell r="E360" t="str"><v>L.      </v></cell></row><row r="360"><cell r="M360" t="str"><v>PHy</v></cell><cell r="N360"><v>7</v></cell><cell r="O360" t="str"><v>HYD</v></cell><cell r="P360" t="str"><v>IBMR</v></cell></row><row r="361"><cell r="A361" t="str"><v>HYR.RAN</v></cell><cell r="B361" t="str"><v>Hydrocotyle ranunculoides        </v></cell></row><row r="361"><cell r="E361" t="str"><v>      </v></cell></row><row r="361"><cell r="M361" t="str"><v>PHy</v></cell><cell r="N361"><v>7</v></cell><cell r="O361" t="str"><v>HYD</v></cell></row><row r="362"><cell r="A362" t="str"><v>JUN.BUL</v></cell><cell r="B362" t="str"><v>Juncus bulbosus</v></cell><cell r="C362"><v>16</v></cell><cell r="D362"><v>3</v></cell><cell r="E362" t="str"><v>L.      </v></cell></row><row r="362"><cell r="M362" t="str"><v>PHy</v></cell><cell r="N362"><v>7</v></cell><cell r="O362" t="str"><v>HYD</v></cell><cell r="P362" t="str"><v>IBMR</v></cell></row><row r="363"><cell r="A363" t="str"><v>LAG.MAJ</v></cell><cell r="B363" t="str"><v>Lagarosiphon major</v></cell></row><row r="363"><cell r="E363" t="str"><v>(Ridley) Moss     </v></cell></row><row r="363"><cell r="M363" t="str"><v>PHy</v></cell><cell r="N363"><v>7</v></cell><cell r="O363" t="str"><v>HYD</v></cell></row><row r="364"><cell r="A364" t="str"><v>LEE.AQU</v></cell><cell r="B364" t="str"><v>Leersia aquatica        </v></cell></row><row r="364"><cell r="E364" t="str"><v>      </v></cell></row><row r="364"><cell r="M364" t="str"><v>PHy</v></cell><cell r="N364"><v>7</v></cell><cell r="O364" t="str"><v>HYD</v></cell></row><row r="365"><cell r="A365" t="str"><v>LEM.AEQ</v></cell><cell r="B365" t="str"><v>Lemna aequinoctialis        </v></cell></row><row r="365"><cell r="E365" t="str"><v>      </v></cell></row><row r="365"><cell r="M365" t="str"><v>PHy</v></cell><cell r="N365"><v>7</v></cell><cell r="O365" t="str"><v>HYD</v></cell></row><row r="366"><cell r="A366" t="str"><v>LEM.GIB</v></cell><cell r="B366" t="str"><v>Lemna gibba</v></cell><cell r="C366"><v>5</v></cell><cell r="D366"><v>3</v></cell><cell r="E366" t="str"><v>L.      </v></cell></row><row r="366"><cell r="M366" t="str"><v>PHy</v></cell><cell r="N366"><v>7</v></cell><cell r="O366" t="str"><v>HYD</v></cell><cell r="P366" t="str"><v>IBMR</v></cell></row><row r="367"><cell r="A367" t="str"><v>LEM.MIN</v></cell><cell r="B367" t="str"><v>Lemna minor</v></cell><cell r="C367"><v>10</v></cell><cell r="D367"><v>1</v></cell><cell r="E367" t="str"><v>L.      </v></cell></row><row r="367"><cell r="M367" t="str"><v>PHy</v></cell><cell r="N367"><v>7</v></cell><cell r="O367" t="str"><v>HYD</v></cell><cell r="P367" t="str"><v>IBMR</v></cell></row><row r="368"><cell r="A368" t="str"><v>LEM.MIU</v></cell><cell r="B368" t="str"><v>Lemna minuscula (L. minuta)</v></cell></row><row r="368"><cell r="E368" t="str"><v>      </v></cell><cell r="F368" t="str"><v>Lemna minuta L.</v></cell></row><row r="368"><cell r="M368" t="str"><v>PHy</v></cell><cell r="N368"><v>7</v></cell><cell r="O368" t="str"><v>HYD</v></cell></row><row r="369"><cell r="A369" t="str"><v>LEM.SPX</v></cell><cell r="B369" t="str"><v>Lemna sp.</v></cell></row><row r="369"><cell r="E369" t="str"><v>      </v></cell></row><row r="369"><cell r="M369" t="str"><v>PHy</v></cell><cell r="N369"><v>7</v></cell><cell r="O369" t="str"><v>HYD</v></cell></row><row r="370"><cell r="A370" t="str"><v>LEM.TRI</v></cell><cell r="B370" t="str"><v>Lemna trisulca</v></cell><cell r="C370"><v>12</v></cell><cell r="D370"><v>2</v></cell><cell r="E370" t="str"><v>L.      </v></cell></row><row r="370"><cell r="M370" t="str"><v>PHy</v></cell><cell r="N370"><v>7</v></cell><cell r="O370" t="str"><v>HYD</v></cell><cell r="P370" t="str"><v>IBMR</v></cell></row><row r="371"><cell r="A371" t="str"><v>LEM.TUR</v></cell><cell r="B371" t="str"><v>Lemna turionifera       </v></cell></row><row r="371"><cell r="E371" t="str"><v>Landolt      </v></cell></row><row r="371"><cell r="M371" t="str"><v>PHy</v></cell><cell r="N371"><v>7</v></cell><cell r="O371" t="str"><v>HYD</v></cell></row><row r="372"><cell r="A372" t="str"><v>LIT.UNI</v></cell><cell r="B372" t="str"><v>Littorella uniflora</v></cell><cell r="C372"><v>15</v></cell><cell r="D372"><v>3</v></cell><cell r="E372" t="str"><v>(L.) Ascherson     </v></cell></row><row r="372"><cell r="M372" t="str"><v>PHy</v></cell><cell r="N372"><v>7</v></cell><cell r="O372" t="str"><v>HYD</v></cell><cell r="P372" t="str"><v>IBMR</v></cell></row><row r="373"><cell r="A373" t="str"><v>LOB.DOR</v></cell><cell r="B373" t="str"><v>Lobelia dortmanna     </v></cell></row><row r="373"><cell r="E373" t="str"><v>L.      </v></cell></row><row r="373"><cell r="M373" t="str"><v>PHy</v></cell><cell r="N373"><v>7</v></cell><cell r="O373" t="str"><v>HYD</v></cell></row><row r="374"><cell r="A374" t="str"><v>LUR.NAT</v></cell><cell r="B374" t="str"><v>Luronium natans (Alisma natans)</v></cell><cell r="C374"><v>14</v></cell><cell r="D374"><v>3</v></cell><cell r="E374" t="str"><v>(L.) Rafin.     </v></cell><cell r="F374" t="str"><v>Alisma natans</v></cell></row><row r="374"><cell r="M374" t="str"><v>PHy</v></cell><cell r="N374"><v>7</v></cell><cell r="O374" t="str"><v>HYD</v></cell><cell r="P374" t="str"><v>IBMR</v></cell></row><row r="375"><cell r="A375" t="str"><v>MAS.AEG</v></cell><cell r="B375" t="str"><v>Marsilea aegyptiaca        </v></cell></row><row r="375"><cell r="E375" t="str"><v>      </v></cell></row><row r="375"><cell r="M375" t="str"><v>PHy</v></cell><cell r="N375"><v>7</v></cell><cell r="O375" t="str"><v>HYD</v></cell></row><row r="376"><cell r="A376" t="str"><v>MAS.AZO</v></cell><cell r="B376" t="str"><v>Marsilea azorica        </v></cell></row><row r="376"><cell r="E376" t="str"><v>      </v></cell></row><row r="376"><cell r="M376" t="str"><v>PHy</v></cell><cell r="N376"><v>7</v></cell><cell r="O376" t="str"><v>HYD</v></cell></row><row r="377"><cell r="A377" t="str"><v>MAS.QUA</v></cell><cell r="B377" t="str"><v>Marsilea quadrifolia        </v></cell></row><row r="377"><cell r="E377" t="str"><v>L.      </v></cell></row><row r="377"><cell r="M377" t="str"><v>PHy</v></cell><cell r="N377"><v>7</v></cell><cell r="O377" t="str"><v>HYD</v></cell></row><row r="378"><cell r="A378" t="str"><v>MAS.STR</v></cell><cell r="B378" t="str"><v>Marsilea strigosa        </v></cell></row><row r="378"><cell r="E378" t="str"><v>      </v></cell></row><row r="378"><cell r="M378" t="str"><v>PHy</v></cell><cell r="N378"><v>7</v></cell><cell r="O378" t="str"><v>HYD</v></cell></row><row r="379"><cell r="A379" t="str"><v>MYR.ALT</v></cell><cell r="B379" t="str"><v>Myriophyllum alterniflorum</v></cell><cell r="C379"><v>13</v></cell><cell r="D379"><v>2</v></cell><cell r="E379" t="str"><v>DC.      </v></cell></row><row r="379"><cell r="M379" t="str"><v>PHy</v></cell><cell r="N379"><v>7</v></cell><cell r="O379" t="str"><v>HYD</v></cell><cell r="P379" t="str"><v>IBMR</v></cell></row><row r="380"><cell r="A380" t="str"><v>MYR.EXA</v></cell><cell r="B380" t="str"><v>Myriophyllum exalbescens        </v></cell></row><row r="380"><cell r="E380" t="str"><v>      </v></cell></row><row r="380"><cell r="M380" t="str"><v>PHy</v></cell><cell r="N380"><v>7</v></cell><cell r="O380" t="str"><v>HYD</v></cell></row><row r="381"><cell r="A381" t="str"><v>MYR.HET</v></cell><cell r="B381" t="str"><v>Myriophyllum heterophyllum        </v></cell></row><row r="381"><cell r="E381" t="str"><v>      </v></cell></row><row r="381"><cell r="M381" t="str"><v>PHy</v></cell><cell r="N381"><v>7</v></cell><cell r="O381" t="str"><v>HYD</v></cell></row><row r="382"><cell r="A382" t="str"><v>MYR.SPX</v></cell><cell r="B382" t="str"><v>Myriophyllum sp.</v></cell></row><row r="382"><cell r="E382" t="str"><v>      </v></cell></row><row r="382"><cell r="M382" t="str"><v>PHy</v></cell><cell r="N382"><v>7</v></cell><cell r="O382" t="str"><v>HYD</v></cell></row><row r="383"><cell r="A383" t="str"><v>MYR.SPI</v></cell><cell r="B383" t="str"><v>Myriophyllum spicatum</v></cell><cell r="C383"><v>8</v></cell><cell r="D383"><v>2</v></cell><cell r="E383" t="str"><v>L.      </v></cell></row><row r="383"><cell r="M383" t="str"><v>PHy</v></cell><cell r="N383"><v>7</v></cell><cell r="O383" t="str"><v>HYD</v></cell><cell r="P383" t="str"><v>IBMR</v></cell></row><row r="384"><cell r="A384" t="str"><v>MYR.VEU</v></cell><cell r="B384" t="str"><v>Myriophyllum verrucosum        </v></cell></row><row r="384"><cell r="E384" t="str"><v>      </v></cell></row><row r="384"><cell r="M384" t="str"><v>PHy</v></cell><cell r="N384"><v>7</v></cell><cell r="O384" t="str"><v>HYD</v></cell></row><row r="385"><cell r="A385" t="str"><v>MYR.VER</v></cell><cell r="B385" t="str"><v>Myriophyllum verticillatum</v></cell><cell r="C385"><v>12</v></cell><cell r="D385"><v>3</v></cell><cell r="E385" t="str"><v>L.      </v></cell></row><row r="385"><cell r="M385" t="str"><v>PHy</v></cell><cell r="N385"><v>7</v></cell><cell r="O385" t="str"><v>HYD</v></cell><cell r="P385" t="str"><v>IBMR</v></cell></row><row r="386"><cell r="A386" t="str"><v>NAJ.FLE</v></cell><cell r="B386" t="str"><v>Najas flexilis        </v></cell></row><row r="386"><cell r="E386" t="str"><v>      </v></cell></row><row r="386"><cell r="M386" t="str"><v>PHy</v></cell><cell r="N386"><v>7</v></cell><cell r="O386" t="str"><v>HYD</v></cell></row><row r="387"><cell r="A387" t="str"><v>NAJ.GRA</v></cell><cell r="B387" t="str"><v>Najas gracillima        </v></cell></row><row r="387"><cell r="E387" t="str"><v>      </v></cell></row><row r="387"><cell r="M387" t="str"><v>PHy</v></cell><cell r="N387"><v>7</v></cell><cell r="O387" t="str"><v>HYD</v></cell></row><row r="388"><cell r="A388" t="str"><v>NAJ.GRM</v></cell><cell r="B388" t="str"><v>Najas graminea        </v></cell></row><row r="388"><cell r="E388" t="str"><v>      </v></cell></row><row r="388"><cell r="M388" t="str"><v>PHy</v></cell><cell r="N388"><v>7</v></cell><cell r="O388" t="str"><v>HYD</v></cell></row><row r="389"><cell r="A389" t="str"><v>NAJ.MAR</v></cell><cell r="B389" t="str"><v>Najas marina (N. major)</v></cell><cell r="C389"><v>5</v></cell><cell r="D389"><v>3</v></cell><cell r="E389" t="str"><v>L.      </v></cell><cell r="F389" t="str"><v>Najas major</v></cell></row><row r="389"><cell r="M389" t="str"><v>PHy</v></cell><cell r="N389"><v>7</v></cell><cell r="O389" t="str"><v>HYD</v></cell><cell r="P389" t="str"><v>IBMR</v></cell></row><row r="390"><cell r="A390" t="str"><v>NAJ.ARM</v></cell><cell r="B390" t="str"><v>Najas marina subsp. armata      </v></cell></row><row r="390"><cell r="E390" t="str"><v>      </v></cell></row><row r="390"><cell r="M390" t="str"><v>PHy</v></cell><cell r="N390"><v>7</v></cell><cell r="O390" t="str"><v>HYD</v></cell></row><row r="391"><cell r="A391" t="str"><v>NAJ.INT</v></cell><cell r="B391" t="str"><v>Najas marina subsp. intermedia      </v></cell></row><row r="391"><cell r="E391" t="str"><v>      </v></cell></row><row r="391"><cell r="M391" t="str"><v>PHy</v></cell><cell r="N391"><v>7</v></cell><cell r="O391" t="str"><v>HYD</v></cell></row><row r="392"><cell r="A392" t="str"><v>NAJ.MAM</v></cell><cell r="B392" t="str"><v>Najas marina subsp. marina</v></cell></row><row r="392"><cell r="E392" t="str"><v>L.      </v></cell></row><row r="392"><cell r="M392" t="str"><v>PHy</v></cell><cell r="N392"><v>7</v></cell><cell r="O392" t="str"><v>HYD</v></cell></row><row r="393"><cell r="A393" t="str"><v>NAJ.MIN</v></cell><cell r="B393" t="str"><v>Najas minor</v></cell><cell r="C393"><v>6</v></cell><cell r="D393"><v>3</v></cell><cell r="E393" t="str"><v>L.      </v></cell></row><row r="393"><cell r="M393" t="str"><v>PHy</v></cell><cell r="N393"><v>7</v></cell><cell r="O393" t="str"><v>HYD</v></cell><cell r="P393" t="str"><v>IBMR</v></cell></row><row r="394"><cell r="A394" t="str"><v>NAJ.ORI</v></cell><cell r="B394" t="str"><v>Najas orientalis        </v></cell></row><row r="394"><cell r="E394" t="str"><v>      </v></cell></row><row r="394"><cell r="M394" t="str"><v>PHy</v></cell><cell r="N394"><v>7</v></cell><cell r="O394" t="str"><v>HYD</v></cell></row><row r="395"><cell r="A395" t="str"><v>NAJ.SPX</v></cell><cell r="B395" t="str"><v>Najas sp.</v></cell></row><row r="395"><cell r="E395" t="str"><v>      </v></cell></row><row r="395"><cell r="M395" t="str"><v>PHy</v></cell><cell r="N395"><v>7</v></cell><cell r="O395" t="str"><v>HYD</v></cell></row><row r="396"><cell r="A396" t="str"><v>NAJ.TEN</v></cell><cell r="B396" t="str"><v>Najas tenuissima        </v></cell></row><row r="396"><cell r="E396" t="str"><v>      </v></cell></row><row r="396"><cell r="M396" t="str"><v>PHy</v></cell><cell r="N396"><v>7</v></cell><cell r="O396" t="str"><v>HYD</v></cell></row><row r="397"><cell r="A397" t="str"><v>NEL.NUC</v></cell><cell r="B397" t="str"><v>Nelumbo nucifera        </v></cell></row><row r="397"><cell r="E397" t="str"><v>      </v></cell></row><row r="397"><cell r="M397" t="str"><v>PHy</v></cell><cell r="N397"><v>7</v></cell><cell r="O397" t="str"><v>HYD</v></cell></row><row r="398"><cell r="A398" t="str"><v>NUP.ADV</v></cell><cell r="B398" t="str"><v>Nuphar advena        </v></cell></row><row r="398"><cell r="E398" t="str"><v>      </v></cell></row><row r="398"><cell r="M398" t="str"><v>PHy</v></cell><cell r="N398"><v>7</v></cell><cell r="O398" t="str"><v>HYD</v></cell></row><row r="399"><cell r="A399" t="str"><v>NUP.LUT</v></cell><cell r="B399" t="str"><v>Nuphar lutea</v></cell><cell r="C399"><v>9</v></cell><cell r="D399"><v>1</v></cell><cell r="E399" t="str"><v>(L.) Sibth. & Sm.   </v></cell></row><row r="399"><cell r="M399" t="str"><v>PHy</v></cell><cell r="N399"><v>7</v></cell><cell r="O399" t="str"><v>HYD</v></cell><cell r="P399" t="str"><v>IBMR</v></cell></row><row r="400"><cell r="A400" t="str"><v>NUP.LUP</v></cell><cell r="B400" t="str"><v>Nuphar lutea x pumila      </v></cell></row><row r="400"><cell r="E400" t="str"><v>      </v></cell></row><row r="400"><cell r="M400" t="str"><v>PHy</v></cell><cell r="N400"><v>7</v></cell><cell r="O400" t="str"><v>HYD</v></cell></row><row r="401"><cell r="A401" t="str"><v>NUP.PUM</v></cell><cell r="B401" t="str"><v>Nuphar pumila</v></cell></row><row r="401"><cell r="E401" t="str"><v>(Timm) DC.     </v></cell></row><row r="401"><cell r="M401" t="str"><v>PHy</v></cell><cell r="N401"><v>7</v></cell><cell r="O401" t="str"><v>HYD</v></cell></row><row r="402"><cell r="A402" t="str"><v>NUP.SPX</v></cell><cell r="B402" t="str"><v>Nuphar sp.</v></cell></row><row r="402"><cell r="E402" t="str"><v>      </v></cell></row><row r="402"><cell r="M402" t="str"><v>PHy</v></cell><cell r="N402"><v>7</v></cell><cell r="O402" t="str"><v>HYD</v></cell></row><row r="403"><cell r="A403" t="str"><v>NUP.SPE</v></cell><cell r="B403" t="str"><v>Nuphar x spenneriana       </v></cell></row><row r="403"><cell r="E403" t="str"><v>      </v></cell></row><row r="403"><cell r="M403" t="str"><v>PHy</v></cell><cell r="N403"><v>7</v></cell><cell r="O403" t="str"><v>HYD</v></cell></row><row r="404"><cell r="A404" t="str"><v>NYM.ALB</v></cell><cell r="B404" t="str"><v>Nymphaea alba</v></cell><cell r="C404"><v>12</v></cell><cell r="D404"><v>3</v></cell><cell r="E404" t="str"><v>L.      </v></cell></row><row r="404"><cell r="M404" t="str"><v>PHy</v></cell><cell r="N404"><v>7</v></cell><cell r="O404" t="str"><v>HYD</v></cell><cell r="P404" t="str"><v>IBMR</v></cell></row><row r="405"><cell r="A405" t="str"><v>NYM.ALC</v></cell><cell r="B405" t="str"><v>Nymphaea alba x candida      </v></cell></row><row r="405"><cell r="E405" t="str"><v>      </v></cell></row><row r="405"><cell r="M405" t="str"><v>PHy</v></cell><cell r="N405"><v>7</v></cell><cell r="O405" t="str"><v>HYD</v></cell></row><row r="406"><cell r="A406" t="str"><v>NYM.CAN</v></cell><cell r="B406" t="str"><v>Nymphaea candida        </v></cell></row><row r="406"><cell r="E406" t="str"><v>      </v></cell></row><row r="406"><cell r="M406" t="str"><v>PHy</v></cell><cell r="N406"><v>7</v></cell><cell r="O406" t="str"><v>HYD</v></cell></row><row r="407"><cell r="A407" t="str"><v>NYM.LOT</v></cell><cell r="B407" t="str"><v>Nymphaea lotus        </v></cell></row><row r="407"><cell r="E407" t="str"><v>      </v></cell></row><row r="407"><cell r="M407" t="str"><v>PHy</v></cell><cell r="N407"><v>7</v></cell><cell r="O407" t="str"><v>HYD</v></cell></row><row r="408"><cell r="A408" t="str"><v>NYM.RUB</v></cell><cell r="B408" t="str"><v>Nymphaea rubra        </v></cell></row><row r="408"><cell r="E408" t="str"><v>      </v></cell></row><row r="408"><cell r="M408" t="str"><v>PHy</v></cell><cell r="N408"><v>7</v></cell><cell r="O408" t="str"><v>HYD</v></cell></row><row r="409"><cell r="A409" t="str"><v>NYM.SPX</v></cell><cell r="B409" t="str"><v>Nymphaea sp.</v></cell></row><row r="409"><cell r="E409" t="str"><v>      </v></cell></row><row r="409"><cell r="M409" t="str"><v>PHy</v></cell><cell r="N409"><v>7</v></cell><cell r="O409" t="str"><v>HYD</v></cell></row><row r="410"><cell r="A410" t="str"><v>NYM.TET</v></cell><cell r="B410" t="str"><v>Nymphaea tetragona        </v></cell></row><row r="410"><cell r="E410" t="str"><v>      </v></cell></row><row r="410"><cell r="M410" t="str"><v>PHy</v></cell><cell r="N410"><v>7</v></cell><cell r="O410" t="str"><v>HYD</v></cell></row><row r="411"><cell r="A411" t="str"><v>NYP.PEL</v></cell><cell r="B411" t="str"><v>Nymphoides peltata</v></cell><cell r="C411"><v>10</v></cell><cell r="D411"><v>2</v></cell><cell r="E411" t="str"><v>(S. G. Gmelin) O. Kuntze  </v></cell></row><row r="411"><cell r="M411" t="str"><v>PHy</v></cell><cell r="N411"><v>7</v></cell><cell r="O411" t="str"><v>HYD</v></cell><cell r="P411" t="str"><v>IBMR</v></cell></row><row r="412"><cell r="A412" t="str"><v>PIS.STR</v></cell><cell r="B412" t="str"><v>Pistia stratiotes   </v></cell></row><row r="412"><cell r="E412" t="str"><v>L.      </v></cell></row><row r="412"><cell r="M412" t="str"><v>PHy</v></cell><cell r="N412"><v>7</v></cell><cell r="O412" t="str"><v>HYD</v></cell></row><row r="413"><cell r="A413" t="str"><v>PON.COR</v></cell><cell r="B413" t="str"><v>Pontederia cordata        </v></cell></row><row r="413"><cell r="E413" t="str"><v>      </v></cell></row><row r="413"><cell r="M413" t="str"><v>PHy</v></cell><cell r="N413"><v>7</v></cell><cell r="O413" t="str"><v>HYD</v></cell></row><row r="414"><cell r="A414" t="str"><v>POT.ACU</v></cell><cell r="B414" t="str"><v>Potamogeton acutifolius       </v></cell><cell r="C414"><v>12</v></cell><cell r="D414"><v>3</v></cell><cell r="E414" t="str"><v>Link      </v></cell></row><row r="414"><cell r="M414" t="str"><v>PHy</v></cell><cell r="N414"><v>7</v></cell><cell r="O414" t="str"><v>HYD</v></cell><cell r="P414" t="str"><v>IBMR</v></cell></row><row r="415"><cell r="A415" t="str"><v>POT.ALP</v></cell><cell r="B415" t="str"><v>Potamogeton alpinus      </v></cell><cell r="C415"><v>13</v></cell><cell r="D415"><v>2</v></cell><cell r="E415" t="str"><v>Balbis      </v></cell></row><row r="415"><cell r="M415" t="str"><v>PHy</v></cell><cell r="N415"><v>7</v></cell><cell r="O415" t="str"><v>HYD</v></cell><cell r="P415" t="str"><v>IBMR</v></cell></row><row r="416"><cell r="A416" t="str"><v>POT.BER</v></cell><cell r="B416" t="str"><v>Potamogeton berchtoldii</v></cell><cell r="C416"><v>9</v></cell><cell r="D416"><v>2</v></cell><cell r="E416" t="str"><v>Fieber      </v></cell></row><row r="416"><cell r="M416" t="str"><v>PHy</v></cell><cell r="N416"><v>7</v></cell><cell r="O416" t="str"><v>HYD</v></cell><cell r="P416" t="str"><v>IBMR</v></cell></row><row r="417"><cell r="A417" t="str"><v>POT.COL</v></cell><cell r="B417" t="str"><v>Potamogeton coloratus</v></cell><cell r="C417"><v>20</v></cell><cell r="D417"><v>3</v></cell><cell r="E417" t="str"><v>Hornem.      </v></cell></row><row r="417"><cell r="M417" t="str"><v>PHy</v></cell><cell r="N417"><v>7</v></cell><cell r="O417" t="str"><v>HYD</v></cell><cell r="P417" t="str"><v>IBMR</v></cell></row><row r="418"><cell r="A418" t="str"><v>POT.COM</v></cell><cell r="B418" t="str"><v>Potamogeton compressus</v></cell><cell r="C418"><v>6</v></cell><cell r="D418"><v>3</v></cell><cell r="E418" t="str"><v>L.      </v></cell></row><row r="418"><cell r="M418" t="str"><v>PHy</v></cell><cell r="N418"><v>7</v></cell><cell r="O418" t="str"><v>HYD</v></cell><cell r="P418" t="str"><v>IBMR</v></cell></row><row r="419"><cell r="A419" t="str"><v>POT.CRI</v></cell><cell r="B419" t="str"><v>Potamogeton crispus</v></cell><cell r="C419"><v>7</v></cell><cell r="D419"><v>2</v></cell><cell r="E419" t="str"><v>L.      </v></cell></row><row r="419"><cell r="M419" t="str"><v>PHy</v></cell><cell r="N419"><v>7</v></cell><cell r="O419" t="str"><v>HYD</v></cell><cell r="P419" t="str"><v>IBMR</v></cell></row><row r="420"><cell r="A420" t="str"><v>POT.EPI</v></cell><cell r="B420" t="str"><v>Potamogeton epihydrus        </v></cell></row><row r="420"><cell r="E420" t="str"><v>      </v></cell></row><row r="420"><cell r="M420" t="str"><v>PHy</v></cell><cell r="N420"><v>7</v></cell><cell r="O420" t="str"><v>HYD</v></cell></row><row r="421"><cell r="A421" t="str"><v>POT.FIL</v></cell><cell r="B421" t="str"><v>Potamogeton filiformis</v></cell></row><row r="421"><cell r="E421" t="str"><v>Pers.      </v></cell></row><row r="421"><cell r="M421" t="str"><v>PHy</v></cell><cell r="N421"><v>7</v></cell><cell r="O421" t="str"><v>HYD</v></cell></row><row r="422"><cell r="A422" t="str"><v>POT.FRI</v></cell><cell r="B422" t="str"><v>Potamogeton friesii (P. mucronatus)</v></cell><cell r="C422"><v>10</v></cell><cell r="D422"><v>1</v></cell><cell r="E422" t="str"><v>Rupr.      </v></cell><cell r="F422" t="str"><v>Potamogeton mucronatus</v></cell></row><row r="422"><cell r="M422" t="str"><v>PHy</v></cell><cell r="N422"><v>7</v></cell><cell r="O422" t="str"><v>HYD</v></cell><cell r="P422" t="str"><v>IBMR</v></cell></row><row r="423"><cell r="A423" t="str"><v>POT.GRA</v></cell><cell r="B423" t="str"><v>Potamogeton gramineus</v></cell><cell r="C423"><v>13</v></cell><cell r="D423"><v>2</v></cell><cell r="E423" t="str"><v>L.      </v></cell></row><row r="423"><cell r="M423" t="str"><v>PHy</v></cell><cell r="N423"><v>7</v></cell><cell r="O423" t="str"><v>HYD</v></cell><cell r="P423" t="str"><v>IBMR</v></cell></row><row r="424"><cell r="A424" t="str"><v>POT.HEL</v></cell><cell r="B424" t="str"><v>Potamogeton helveticus</v></cell></row><row r="424"><cell r="E424" t="str"><v>(G. Fischer) E. Baumann   </v></cell></row><row r="424"><cell r="M424" t="str"><v>PHy</v></cell><cell r="N424"><v>7</v></cell><cell r="O424" t="str"><v>HYD</v></cell></row><row r="425"><cell r="A425" t="str"><v>POT.LUC</v></cell><cell r="B425" t="str"><v>Potamogeton lucens</v></cell><cell r="C425"><v>7</v></cell><cell r="D425"><v>3</v></cell><cell r="E425" t="str"><v>L.      </v></cell></row><row r="425"><cell r="M425" t="str"><v>PHy</v></cell><cell r="N425"><v>7</v></cell><cell r="O425" t="str"><v>HYD</v></cell><cell r="P425" t="str"><v>IBMR</v></cell></row><row r="426"><cell r="A426" t="str"><v>POT.NAT</v></cell><cell r="B426" t="str"><v>Potamogeton natans</v></cell><cell r="C426"><v>12</v></cell><cell r="D426"><v>1</v></cell><cell r="E426" t="str"><v>L.      </v></cell></row><row r="426"><cell r="M426" t="str"><v>PHy</v></cell><cell r="N426"><v>7</v></cell><cell r="O426" t="str"><v>HYD</v></cell><cell r="P426" t="str"><v>IBMR</v></cell></row><row r="427"><cell r="A427" t="str"><v>POT.PRO</v></cell><cell r="B427" t="str"><v>Potamogeton natans var. prolixus</v></cell></row><row r="427"><cell r="E427" t="str"><v>Koch      </v></cell></row><row r="427"><cell r="M427" t="str"><v>PHy</v></cell><cell r="N427"><v>7</v></cell><cell r="O427" t="str"><v>HYD</v></cell></row><row r="428"><cell r="A428" t="str"><v>POT.NOD</v></cell><cell r="B428" t="str"><v>Potamogeton nodosus (P. fluitans)</v></cell><cell r="C428"><v>4</v></cell><cell r="D428"><v>3</v></cell><cell r="E428" t="str"><v>Poiret      </v></cell><cell r="F428" t="str"><v>Potamogeton fluitans</v></cell></row><row r="428"><cell r="M428" t="str"><v>PHy</v></cell><cell r="N428"><v>7</v></cell><cell r="O428" t="str"><v>HYD</v></cell><cell r="P428" t="str"><v>IBMR</v></cell></row><row r="429"><cell r="A429" t="str"><v>POT.OBT</v></cell><cell r="B429" t="str"><v>Potamogeton obtusifolius</v></cell><cell r="C429"><v>10</v></cell><cell r="D429"><v>2</v></cell><cell r="E429" t="str"><v>Mert. & Koch    </v></cell></row><row r="429"><cell r="M429" t="str"><v>PHy</v></cell><cell r="N429"><v>7</v></cell><cell r="O429" t="str"><v>HYD</v></cell><cell r="P429" t="str"><v>IBMR</v></cell></row><row r="430"><cell r="A430" t="str"><v>POT.PAN</v></cell><cell r="B430" t="str"><v>Potamogeton panormitanus (P. pusillus)      </v></cell><cell r="C430"><v>9</v></cell><cell r="D430"><v>2</v></cell><cell r="E430" t="str"><v>      </v></cell><cell r="F430" t="str"><v>potamogeton pusillus L.</v></cell></row><row r="430"><cell r="M430" t="str"><v>PHy</v></cell><cell r="N430"><v>7</v></cell><cell r="O430" t="str"><v>HYD</v></cell><cell r="P430" t="str"><v>IBMR</v></cell></row><row r="431"><cell r="A431" t="str"><v>POT.PEC</v></cell><cell r="B431" t="str"><v>Potamogeton pectinatus    </v></cell><cell r="C431"><v>2</v></cell><cell r="D431"><v>2</v></cell><cell r="E431" t="str"><v>L.      </v></cell></row><row r="431"><cell r="M431" t="str"><v>PHy</v></cell><cell r="N431"><v>7</v></cell><cell r="O431" t="str"><v>HYD</v></cell><cell r="P431" t="str"><v>IBMR</v></cell></row><row r="432"><cell r="A432" t="str"><v>POT.PER</v></cell><cell r="B432" t="str"><v>Potamogeton perfoliatus</v></cell><cell r="C432"><v>9</v></cell><cell r="D432"><v>2</v></cell><cell r="E432" t="str"><v>L.      </v></cell></row><row r="432"><cell r="M432" t="str"><v>PHy</v></cell><cell r="N432"><v>7</v></cell><cell r="O432" t="str"><v>HYD</v></cell><cell r="P432" t="str"><v>IBMR</v></cell></row><row r="433"><cell r="A433" t="str"><v>POT.POL</v></cell><cell r="B433" t="str"><v>Potamogeton polygonifolius       </v></cell><cell r="C433"><v>17</v></cell><cell r="D433"><v>3</v></cell><cell r="E433" t="str"><v>Pourret      </v></cell></row><row r="433"><cell r="M433" t="str"><v>PHy</v></cell><cell r="N433"><v>7</v></cell><cell r="O433" t="str"><v>HYD</v></cell><cell r="P433" t="str"><v>IBMR</v></cell></row><row r="434"><cell r="A434" t="str"><v>POT.PRA</v></cell><cell r="B434" t="str"><v>Potamogeton praelongus       </v></cell><cell r="C434"><v>13</v></cell><cell r="D434"><v>2</v></cell><cell r="E434" t="str"><v>Wulfen      </v></cell></row><row r="434"><cell r="M434" t="str"><v>PHy</v></cell><cell r="N434"><v>7</v></cell><cell r="O434" t="str"><v>HYD</v></cell><cell r="P434" t="str"><v>IBMR</v></cell></row><row r="435"><cell r="A435" t="str"><v>POT.RUT</v></cell><cell r="B435" t="str"><v>Potamogeton rutilus</v></cell></row><row r="435"><cell r="E435" t="str"><v>Wolfg.      </v></cell></row><row r="435"><cell r="M435" t="str"><v>PHy</v></cell><cell r="N435"><v>7</v></cell><cell r="O435" t="str"><v>HYD</v></cell></row><row r="436"><cell r="A436" t="str"><v>POT.SCH</v></cell><cell r="B436" t="str"><v>Potamogeton schweinfurthii        </v></cell></row><row r="436"><cell r="E436" t="str"><v>      </v></cell></row><row r="436"><cell r="M436" t="str"><v>PHy</v></cell><cell r="N436"><v>7</v></cell><cell r="O436" t="str"><v>HYD</v></cell></row><row r="437"><cell r="A437" t="str"><v>POT.SIC</v></cell><cell r="B437" t="str"><v>Potamogeton siculus        </v></cell></row><row r="437"><cell r="E437" t="str"><v>      </v></cell></row><row r="437"><cell r="M437" t="str"><v>PHy</v></cell><cell r="N437"><v>7</v></cell><cell r="O437" t="str"><v>HYD</v></cell></row><row r="438"><cell r="A438" t="str"><v>POT.SPX</v></cell><cell r="B438" t="str"><v>Potamogeton sp.</v></cell></row><row r="438"><cell r="E438" t="str"><v>      </v></cell></row><row r="438"><cell r="M438" t="str"><v>PHy</v></cell><cell r="N438"><v>7</v></cell><cell r="O438" t="str"><v>HYD</v></cell></row><row r="439"><cell r="A439" t="str"><v>POT.TRI</v></cell><cell r="B439" t="str"><v>Potamogeton trichoides</v></cell><cell r="C439"><v>7</v></cell><cell r="D439"><v>2</v></cell><cell r="E439" t="str"><v>Cham. & Schelcht    </v></cell></row><row r="439"><cell r="M439" t="str"><v>PHy</v></cell><cell r="N439"><v>7</v></cell><cell r="O439" t="str"><v>HYD</v></cell><cell r="P439" t="str"><v>IBMR</v></cell></row><row r="440"><cell r="A440" t="str"><v>POT.VAG</v></cell><cell r="B440" t="str"><v>Potamogeton vaginatus        </v></cell></row><row r="440"><cell r="E440" t="str"><v>      </v></cell></row><row r="440"><cell r="M440" t="str"><v>PHy</v></cell><cell r="N440"><v>7</v></cell><cell r="O440" t="str"><v>HYD</v></cell></row><row r="441"><cell r="A441" t="str"><v>POT.ANG</v></cell><cell r="B441" t="str"><v>Potamogeton x angustifolius</v></cell></row><row r="441"><cell r="E441" t="str"><v>J. S. Presl    </v></cell></row><row r="441"><cell r="M441" t="str"><v>PHy</v></cell><cell r="N441"><v>7</v></cell><cell r="O441" t="str"><v>HYD</v></cell></row><row r="442"><cell r="A442" t="str"><v>POT.BEN</v></cell><cell r="B442" t="str"><v>Potamogeton x bennettii       </v></cell></row><row r="442"><cell r="E442" t="str"><v>      </v></cell></row><row r="442"><cell r="M442" t="str"><v>PHy</v></cell><cell r="N442"><v>7</v></cell><cell r="O442" t="str"><v>HYD</v></cell></row><row r="443"><cell r="A443" t="str"><v>POT.BOT</v></cell><cell r="B443" t="str"><v>Potamogeton x bottnicus       </v></cell></row><row r="443"><cell r="E443" t="str"><v>      </v></cell></row><row r="443"><cell r="M443" t="str"><v>PHy</v></cell><cell r="N443"><v>7</v></cell><cell r="O443" t="str"><v>HYD</v></cell></row><row r="444"><cell r="A444" t="str"><v>POT.COG</v></cell><cell r="B444" t="str"><v>Potamogeton x cognatus       </v></cell></row><row r="444"><cell r="E444" t="str"><v>      </v></cell></row><row r="444"><cell r="M444" t="str"><v>PHy</v></cell><cell r="N444"><v>7</v></cell><cell r="O444" t="str"><v>HYD</v></cell></row><row r="445"><cell r="A445" t="str"><v>POT.COO</v></cell><cell r="B445" t="str"><v>Potamogeton x cooperi       </v></cell></row><row r="445"><cell r="E445" t="str"><v>      </v></cell></row><row r="445"><cell r="M445" t="str"><v>PHy</v></cell><cell r="N445"><v>7</v></cell><cell r="O445" t="str"><v>HYD</v></cell></row><row r="446"><cell r="A446" t="str"><v>POT.FEN</v></cell><cell r="B446" t="str"><v>Potamogeton x fennicus       </v></cell></row><row r="446"><cell r="E446" t="str"><v>      </v></cell></row><row r="446"><cell r="M446" t="str"><v>PHy</v></cell><cell r="N446"><v>7</v></cell><cell r="O446" t="str"><v>HYD</v></cell></row><row r="447"><cell r="A447" t="str"><v>POT.FLU</v></cell><cell r="B447" t="str"><v>Potamogeton x fluitans       </v></cell></row><row r="447"><cell r="E447" t="str"><v>      </v></cell></row><row r="447"><cell r="M447" t="str"><v>PHy</v></cell><cell r="N447"><v>7</v></cell><cell r="O447" t="str"><v>HYD</v></cell></row><row r="448"><cell r="A448" t="str"><v>POT.GES</v></cell><cell r="B448" t="str"><v>Potamogeton x gessnacensis       </v></cell></row><row r="448"><cell r="E448" t="str"><v>      </v></cell></row><row r="448"><cell r="M448" t="str"><v>PHy</v></cell><cell r="N448"><v>7</v></cell><cell r="O448" t="str"><v>HYD</v></cell></row><row r="449"><cell r="A449" t="str"><v>POT.GRI</v></cell><cell r="B449" t="str"><v>Potamogeton x griffithii       </v></cell></row><row r="449"><cell r="E449" t="str"><v>      </v></cell></row><row r="449"><cell r="M449" t="str"><v>PHy</v></cell><cell r="N449"><v>7</v></cell><cell r="O449" t="str"><v>HYD</v></cell></row><row r="450"><cell r="A450" t="str"><v>POT.LIN</v></cell><cell r="B450" t="str"><v>Potamogeton x lintonii       </v></cell></row><row r="450"><cell r="E450" t="str"><v>      </v></cell></row><row r="450"><cell r="M450" t="str"><v>PHy</v></cell><cell r="N450"><v>7</v></cell><cell r="O450" t="str"><v>HYD</v></cell></row><row r="451"><cell r="A451" t="str"><v>POT.NER</v></cell><cell r="B451" t="str"><v>Potamogeton x nerviger       </v></cell></row><row r="451"><cell r="E451" t="str"><v>      </v></cell></row><row r="451"><cell r="M451" t="str"><v>PHy</v></cell><cell r="N451"><v>7</v></cell><cell r="O451" t="str"><v>HYD</v></cell></row><row r="452"><cell r="A452" t="str"><v>POT.NIT</v></cell><cell r="B452" t="str"><v>Potamogeton x nitens</v></cell></row><row r="452"><cell r="E452" t="str"><v>Weber      </v></cell></row><row r="452"><cell r="M452" t="str"><v>PHy</v></cell><cell r="N452"><v>7</v></cell><cell r="O452" t="str"><v>HYD</v></cell></row><row r="453"><cell r="A453" t="str"><v>POT.OLI</v></cell><cell r="B453" t="str"><v>Potamogeton x olivaceus       </v></cell></row><row r="453"><cell r="E453" t="str"><v>      </v></cell></row><row r="453"><cell r="M453" t="str"><v>PHy</v></cell><cell r="N453"><v>7</v></cell><cell r="O453" t="str"><v>HYD</v></cell></row><row r="454"><cell r="A454" t="str"><v>POT.SAL</v></cell><cell r="B454" t="str"><v>Potamogeton x saliciifolius      </v></cell></row><row r="454"><cell r="E454" t="str"><v>Wolfgang      </v></cell></row><row r="454"><cell r="M454" t="str"><v>PHy</v></cell><cell r="N454"><v>7</v></cell><cell r="O454" t="str"><v>HYD</v></cell></row><row r="455"><cell r="A455" t="str"><v>POT.SCR</v></cell><cell r="B455" t="str"><v>Potamogeton x schreberi       </v></cell></row><row r="455"><cell r="E455" t="str"><v>      </v></cell></row><row r="455"><cell r="M455" t="str"><v>PHy</v></cell><cell r="N455"><v>7</v></cell><cell r="O455" t="str"><v>HYD</v></cell></row><row r="456"><cell r="A456" t="str"><v>POT.SPA</v></cell><cell r="B456" t="str"><v>Potamogeton x sparganiifolius</v></cell></row><row r="456"><cell r="E456" t="str"><v>Laestad ex Fries    </v></cell></row><row r="456"><cell r="M456" t="str"><v>PHy</v></cell><cell r="N456"><v>7</v></cell><cell r="O456" t="str"><v>HYD</v></cell></row><row r="457"><cell r="A457" t="str"><v>POT.SUD</v></cell><cell r="B457" t="str"><v>Potamogeton x sudermanicus       </v></cell></row><row r="457"><cell r="E457" t="str"><v>      </v></cell></row><row r="457"><cell r="M457" t="str"><v>PHy</v></cell><cell r="N457"><v>7</v></cell><cell r="O457" t="str"><v>HYD</v></cell></row><row r="458"><cell r="A458" t="str"><v>POT.SUE</v></cell><cell r="B458" t="str"><v>Potamogeton x suecicus       </v></cell></row><row r="458"><cell r="E458" t="str"><v>      </v></cell></row><row r="458"><cell r="M458" t="str"><v>PHy</v></cell><cell r="N458"><v>7</v></cell><cell r="O458" t="str"><v>HYD</v></cell></row><row r="459"><cell r="A459" t="str"><v>POT.UND</v></cell><cell r="B459" t="str"><v>Potamogeton x undulatus       </v></cell></row><row r="459"><cell r="E459" t="str"><v>      </v></cell></row><row r="459"><cell r="M459" t="str"><v>PHy</v></cell><cell r="N459"><v>7</v></cell><cell r="O459" t="str"><v>HYD</v></cell></row><row r="460"><cell r="A460" t="str"><v>POT.ZIZ</v></cell><cell r="B460" t="str"><v>Potamogeton zizii</v></cell></row><row r="460"><cell r="E460" t="str"><v>Koch ex Roth    </v></cell></row><row r="460"><cell r="M460" t="str"><v>PHy</v></cell><cell r="N460"><v>7</v></cell><cell r="O460" t="str"><v>HYD</v></cell></row><row r="461"><cell r="A461" t="str"><v>RAN.AQU</v></cell><cell r="B461" t="str"><v>Ranunculus aquatilis</v></cell><cell r="C461"><v>11</v></cell><cell r="D461"><v>2</v></cell><cell r="E461" t="str"><v>L.      </v></cell></row><row r="461"><cell r="M461" t="str"><v>PHy</v></cell><cell r="N461"><v>7</v></cell><cell r="O461" t="str"><v>HYD</v></cell><cell r="P461" t="str"><v>IBMR</v></cell></row><row r="462"><cell r="A462" t="str"><v>RAN.BAT</v></cell><cell r="B462" t="str"><v>Ranunculus batrachoides        </v></cell></row><row r="462"><cell r="E462" t="str"><v>      </v></cell></row><row r="462"><cell r="M462" t="str"><v>PHy</v></cell><cell r="N462"><v>7</v></cell><cell r="O462" t="str"><v>HYD</v></cell></row><row r="463"><cell r="A463" t="str"><v>RAN.BAU</v></cell><cell r="B463" t="str"><v>Ranunculus baudoti</v></cell></row><row r="463"><cell r="E463" t="str"><v>Godron      </v></cell></row><row r="463"><cell r="M463" t="str"><v>PHy</v></cell><cell r="N463"><v>7</v></cell><cell r="O463" t="str"><v>HYD</v></cell></row><row r="464"><cell r="A464" t="str"><v>RAN.CIR</v></cell><cell r="B464" t="str"><v>Ranunculus circinatus (R. divaritacus)</v></cell><cell r="C464"><v>10</v></cell><cell r="D464"><v>2</v></cell><cell r="E464" t="str"><v>Sibth.      </v></cell><cell r="F464" t="str"><v>Ranunculus divaricatus</v></cell></row><row r="464"><cell r="M464" t="str"><v>PHy</v></cell><cell r="N464"><v>7</v></cell><cell r="O464" t="str"><v>HYD</v></cell><cell r="P464" t="str"><v>IBMR</v></cell></row><row r="465"><cell r="A465" t="str"><v>RAN.FLA</v></cell><cell r="B465" t="str"><v>Ranunculus flammula</v></cell><cell r="C465"><v>16</v></cell><cell r="D465"><v>3</v></cell><cell r="E465" t="str"><v>L.      </v></cell></row><row r="465"><cell r="M465" t="str"><v>PHy</v></cell><cell r="N465"><v>7</v></cell><cell r="O465" t="str"><v>HYD</v></cell><cell r="P465" t="str"><v>IBMR</v></cell></row><row r="466"><cell r="A466" t="str"><v>RAN.FLU</v></cell><cell r="B466" t="str"><v>Ranunculus fluitans</v></cell><cell r="C466"><v>10</v></cell><cell r="D466"><v>2</v></cell><cell r="E466" t="str"><v>Lam.      </v></cell></row><row r="466"><cell r="M466" t="str"><v>PHy</v></cell><cell r="N466"><v>7</v></cell><cell r="O466" t="str"><v>HYD</v></cell><cell r="P466" t="str"><v>IBMR</v></cell></row><row r="467"><cell r="A467" t="str"><v>RAN.HED</v></cell><cell r="B467" t="str"><v>Ranunculus hederaceus</v></cell><cell r="C467"><v>12</v></cell><cell r="D467"><v>3</v></cell><cell r="E467" t="str"><v>L.      </v></cell></row><row r="467"><cell r="M467" t="str"><v>PHy</v></cell><cell r="N467"><v>7</v></cell><cell r="O467" t="str"><v>HYD</v></cell><cell r="P467" t="str"><v>IBMR</v></cell></row><row r="468"><cell r="A468" t="str"><v>RAN.OLO</v></cell><cell r="B468" t="str"><v>Ranunculus ololeucos</v></cell><cell r="C468"><v>19</v></cell><cell r="D468"><v>3</v></cell><cell r="E468" t="str"><v>Lloyd      </v></cell></row><row r="468"><cell r="M468" t="str"><v>PHy</v></cell><cell r="N468"><v>7</v></cell><cell r="O468" t="str"><v>HYD</v></cell><cell r="P468" t="str"><v>IBMR</v></cell></row><row r="469"><cell r="A469" t="str"><v>RAN.OMI</v></cell><cell r="B469" t="str"><v>Ranunculus omiophyllus</v></cell><cell r="C469"><v>19</v></cell><cell r="D469"><v>3</v></cell><cell r="E469" t="str"><v>Ten.      </v></cell></row><row r="469"><cell r="M469" t="str"><v>PHy</v></cell><cell r="N469"><v>7</v></cell><cell r="O469" t="str"><v>HYD</v></cell><cell r="P469" t="str"><v>IBMR</v></cell></row><row r="470"><cell r="A470" t="str"><v>RAN.PEL</v></cell><cell r="B470" t="str"><v>Ranunculus peltatus</v></cell><cell r="C470"><v>12</v></cell><cell r="D470"><v>2</v></cell><cell r="E470" t="str"><v>Schrank.      </v></cell></row><row r="470"><cell r="M470" t="str"><v>PHy</v></cell><cell r="N470"><v>7</v></cell><cell r="O470" t="str"><v>HYD</v></cell><cell r="P470" t="str"><v>IBMR</v></cell></row><row r="471"><cell r="A471" t="str"><v>RAN.FUC</v></cell><cell r="B471" t="str"><v>Ranunculus peltatus subsp. fucoides      </v></cell></row><row r="471"><cell r="E471" t="str"><v>      </v></cell></row><row r="471"><cell r="M471" t="str"><v>PHy</v></cell><cell r="N471"><v>7</v></cell><cell r="O471" t="str"><v>HYD</v></cell></row><row r="472"><cell r="A472" t="str"><v>RAN.PEP</v></cell><cell r="B472" t="str"><v>Ranunculus peltatus subsp. peltatus      </v></cell></row><row r="472"><cell r="E472" t="str"><v>      </v></cell></row><row r="472"><cell r="M472" t="str"><v>PHy</v></cell><cell r="N472"><v>7</v></cell><cell r="O472" t="str"><v>HYD</v></cell></row><row r="473"><cell r="A473" t="str"><v>RAN.PSE</v></cell><cell r="B473" t="str"><v>Ranunculus penicillatus subsp. pseudofluitans</v></cell></row><row r="473"><cell r="E473" t="str"><v>(Syme) S. D. Webster   </v></cell></row><row r="473"><cell r="M473" t="str"><v>PHy</v></cell><cell r="N473"><v>7</v></cell><cell r="O473" t="str"><v>HYD</v></cell></row><row r="474"><cell r="A474" t="str"><v>RAN.CAL</v></cell><cell r="B474" t="str"><v>Ranunculus penicillatus var. calcareus (R. penicillatus subsp. calcareus)</v></cell><cell r="C474"><v>13</v></cell><cell r="D474"><v>2</v></cell><cell r="E474" t="str"><v>(Dumort.) Bab.     </v></cell><cell r="F474" t="str"><v>Ranunculus penicillatus subsp. calcareus</v></cell></row><row r="474"><cell r="M474" t="str"><v>PHy</v></cell><cell r="N474"><v>7</v></cell><cell r="O474" t="str"><v>HYD</v></cell><cell r="P474" t="str"><v>IBMR</v></cell></row><row r="475"><cell r="A475" t="str"><v>RAN.PEN</v></cell><cell r="B475" t="str"><v>Ranunculus penicillatus var. penicillatus (R. penicillatus subsp. penicillatus)</v></cell><cell r="C475"><v>12</v></cell><cell r="D475"><v>1</v></cell><cell r="E475" t="str"><v>(Dumort.) Bab.     </v></cell><cell r="F475" t="str"><v>Ranunculus penicillatus subsp. penicillatus</v></cell></row><row r="475"><cell r="M475" t="str"><v>PHy</v></cell><cell r="N475"><v>7</v></cell><cell r="O475" t="str"><v>HYD</v></cell><cell r="P475" t="str"><v>IBMR</v></cell></row><row r="476"><cell r="A476" t="str"><v>RAN.RIO</v></cell><cell r="B476" t="str"><v>Ranunculus rionii        </v></cell></row><row r="476"><cell r="E476" t="str"><v>      </v></cell></row><row r="476"><cell r="M476" t="str"><v>PHy</v></cell><cell r="N476"><v>7</v></cell><cell r="O476" t="str"><v>HYD</v></cell></row><row r="477"><cell r="A477" t="str"><v>RAN.SPX</v></cell><cell r="B477" t="str"><v>Ranunculus sp.</v></cell></row><row r="477"><cell r="E477" t="str"><v>      </v></cell></row><row r="477"><cell r="M477" t="str"><v>PHy</v></cell><cell r="N477"><v>7</v></cell><cell r="O477" t="str"><v>HYD</v></cell></row><row r="478"><cell r="A478" t="str"><v>RAN.TRI</v></cell><cell r="B478" t="str"><v>Ranunculus trichophyllus</v></cell><cell r="C478"><v>11</v></cell><cell r="D478"><v>2</v></cell><cell r="E478" t="str"><v>Chaix      </v></cell></row><row r="478"><cell r="M478" t="str"><v>PHy</v></cell><cell r="N478"><v>7</v></cell><cell r="O478" t="str"><v>HYD</v></cell><cell r="P478" t="str"><v>IBMR</v></cell></row><row r="479"><cell r="A479" t="str"><v>RAN.ERA</v></cell><cell r="B479" t="str"><v>Ranunculus trichophyllus subsp. eradicatus      </v></cell></row><row r="479"><cell r="E479" t="str"><v>      </v></cell></row><row r="479"><cell r="M479" t="str"><v>PHy</v></cell><cell r="N479"><v>7</v></cell><cell r="O479" t="str"><v>HYD</v></cell></row><row r="480"><cell r="A480" t="str"><v>RAN.LUT</v></cell><cell r="B480" t="str"><v>Ranunculus trichophyllus subsp. lutulentus       </v></cell></row><row r="480"><cell r="E480" t="str"><v>      </v></cell></row><row r="480"><cell r="M480" t="str"><v>PHy</v></cell><cell r="N480"><v>7</v></cell><cell r="O480" t="str"><v>HYD</v></cell></row><row r="481"><cell r="A481" t="str"><v>RAN.TRC</v></cell><cell r="B481" t="str"><v>Ranunculus trichophyllus x circinatus      </v></cell></row><row r="481"><cell r="E481" t="str"><v>      </v></cell></row><row r="481"><cell r="M481" t="str"><v>PHy</v></cell><cell r="N481"><v>7</v></cell><cell r="O481" t="str"><v>HYD</v></cell></row><row r="482"><cell r="A482" t="str"><v>RAN.TRP</v></cell><cell r="B482" t="str"><v>Ranunculus tripartitus</v></cell></row><row r="482"><cell r="E482" t="str"><v>DC      </v></cell></row><row r="482"><cell r="M482" t="str"><v>PHy</v></cell><cell r="N482"><v>7</v></cell><cell r="O482" t="str"><v>HYD</v></cell></row><row r="483"><cell r="A483" t="str"><v>RAN.BAC</v></cell><cell r="B483" t="str"><v>Ranunculus x bachii       </v></cell></row><row r="483"><cell r="E483" t="str"><v>      </v></cell></row><row r="483"><cell r="M483" t="str"><v>PHy</v></cell><cell r="N483"><v>7</v></cell><cell r="O483" t="str"><v>HYD</v></cell></row><row r="484"><cell r="A484" t="str"><v>RAN.KEL</v></cell><cell r="B484" t="str"><v>Ranunculus x kelchoensis       </v></cell></row><row r="484"><cell r="E484" t="str"><v>      </v></cell></row><row r="484"><cell r="M484" t="str"><v>PHy</v></cell><cell r="N484"><v>7</v></cell><cell r="O484" t="str"><v>HYD</v></cell></row><row r="485"><cell r="A485" t="str"><v>RAN.LEV</v></cell><cell r="B485" t="str"><v>Ranunculus x levenensis       </v></cell></row><row r="485"><cell r="E485" t="str"><v>      </v></cell></row><row r="485"><cell r="M485" t="str"><v>PHy</v></cell><cell r="N485"><v>7</v></cell><cell r="O485" t="str"><v>HYD</v></cell></row><row r="486"><cell r="A486" t="str"><v>RAN.NOV</v></cell><cell r="B486" t="str"><v>Ranunculus x novae-forestae       </v></cell></row><row r="486"><cell r="E486" t="str"><v>      </v></cell></row><row r="486"><cell r="M486" t="str"><v>PHy</v></cell><cell r="N486"><v>7</v></cell><cell r="O486" t="str"><v>HYD</v></cell></row><row r="487"><cell r="A487" t="str"><v>RUP.CIR</v></cell><cell r="B487" t="str"><v>Ruppia cirrhosa        </v></cell></row><row r="487"><cell r="E487" t="str"><v>      </v></cell></row><row r="487"><cell r="M487" t="str"><v>PHy</v></cell><cell r="N487"><v>7</v></cell><cell r="O487" t="str"><v>HYD</v></cell></row><row r="488"><cell r="A488" t="str"><v>RUP.DRE</v></cell><cell r="B488" t="str"><v>Ruppia drepanensis        </v></cell></row><row r="488"><cell r="E488" t="str"><v>      </v></cell></row><row r="488"><cell r="M488" t="str"><v>PHy</v></cell><cell r="N488"><v>7</v></cell><cell r="O488" t="str"><v>HYD</v></cell></row><row r="489"><cell r="A489" t="str"><v>RUP.MAR</v></cell><cell r="B489" t="str"><v>Ruppia maritima        </v></cell></row><row r="489"><cell r="E489" t="str"><v>      </v></cell></row><row r="489"><cell r="M489" t="str"><v>PHy</v></cell><cell r="N489"><v>7</v></cell><cell r="O489" t="str"><v>HYD</v></cell></row><row r="490"><cell r="A490" t="str"><v>SCI.FLU</v></cell><cell r="B490" t="str"><v>Scirpus fluitans (Eleogiton fluitans)</v></cell><cell r="C490"><v>18</v></cell><cell r="D490"><v>3</v></cell><cell r="E490" t="str"><v>L.      </v></cell><cell r="F490" t="str"><v>Eleogiton fluitans</v></cell><cell r="G490" t="str"><v>Isolepis fluitans L.</v></cell></row><row r="490"><cell r="M490" t="str"><v>PHy</v></cell><cell r="N490"><v>7</v></cell><cell r="O490" t="str"><v>HYD</v></cell><cell r="P490" t="str"><v>IBMR</v></cell></row><row r="491"><cell r="A491" t="str"><v>SPA.ANG</v></cell><cell r="B491" t="str"><v>Sparganium angustifolium</v></cell><cell r="C491"><v>19</v></cell><cell r="D491"><v>3</v></cell><cell r="E491" t="str"><v>Michaux      </v></cell></row><row r="491"><cell r="M491" t="str"><v>PHy</v></cell><cell r="N491"><v>7</v></cell><cell r="O491" t="str"><v>HYD</v></cell><cell r="P491" t="str"><v>IBMR</v></cell></row><row r="492"><cell r="A492" t="str"><v>SPA.ANE</v></cell><cell r="B492" t="str"><v>Sparganium angustifolium x emersum      </v></cell></row><row r="492"><cell r="E492" t="str"><v>      </v></cell></row><row r="492"><cell r="M492" t="str"><v>PHy</v></cell><cell r="N492"><v>7</v></cell><cell r="O492" t="str"><v>HYD</v></cell></row><row r="493"><cell r="A493" t="str"><v>SPA.EMC</v></cell><cell r="B493" t="str"><v>Sparganium emersum feuilles courtes (< 20 cm)</v></cell><cell r="C493"><v>13</v></cell><cell r="D493"><v>2</v></cell><cell r="E493" t="str"><v>Rehmann      </v></cell></row><row r="493"><cell r="M493" t="str"><v>PHy</v></cell><cell r="N493"><v>7</v></cell><cell r="O493" t="str"><v>HYD</v></cell><cell r="P493" t="str"><v>IBMR</v></cell></row><row r="494"><cell r="A494" t="str"><v>SPA.EML</v></cell><cell r="B494" t="str"><v>Sparganium emersum feuilles longues (> 20 cm)</v></cell><cell r="C494"><v>7</v></cell><cell r="D494"><v>1</v></cell><cell r="E494" t="str"><v>Rehmann      </v></cell></row><row r="494"><cell r="M494" t="str"><v>PHy</v></cell><cell r="N494"><v>7</v></cell><cell r="O494" t="str"><v>HYD</v></cell><cell r="P494" t="str"><v>IBMR</v></cell></row><row r="495"><cell r="A495" t="str"><v>SPA.MIN</v></cell><cell r="B495" t="str"><v>Sparganium minimum</v></cell><cell r="C495"><v>15</v></cell><cell r="D495"><v>3</v></cell><cell r="E495" t="str"><v>Wallr      </v></cell></row><row r="495"><cell r="M495" t="str"><v>PHy</v></cell><cell r="N495"><v>7</v></cell><cell r="O495" t="str"><v>HYD</v></cell><cell r="P495" t="str"><v>IBMR</v></cell></row><row r="496"><cell r="A496" t="str"><v>SPA.SPX</v></cell><cell r="B496" t="str"><v>Sparganium sp.</v></cell></row><row r="496"><cell r="E496" t="str"><v>      </v></cell></row><row r="496"><cell r="M496" t="str"><v>PHy</v></cell><cell r="N496"><v>7</v></cell></row><row r="497"><cell r="A497" t="str"><v>SPR.POL</v></cell><cell r="B497" t="str"><v>Spirodela polyrhiza</v></cell><cell r="C497"><v>6</v></cell><cell r="D497"><v>2</v></cell><cell r="E497" t="str"><v>(L.) Schleiden     </v></cell></row><row r="497"><cell r="M497" t="str"><v>PHy</v></cell><cell r="N497"><v>7</v></cell><cell r="O497" t="str"><v>HYD</v></cell><cell r="P497" t="str"><v>IBMR</v></cell></row><row r="498"><cell r="A498" t="str"><v>STR.ALO</v></cell><cell r="B498" t="str"><v>Stratiotes aloides</v></cell></row><row r="498"><cell r="E498" t="str"><v>L.      </v></cell></row><row r="498"><cell r="M498" t="str"><v>PHy</v></cell><cell r="N498"><v>7</v></cell><cell r="O498" t="str"><v>HYD</v></cell></row><row r="499"><cell r="A499" t="str"><v>SUB.AQU</v></cell><cell r="B499" t="str"><v>Subuluria aquatica        </v></cell></row><row r="499"><cell r="E499" t="str"><v>      </v></cell></row><row r="499"><cell r="M499" t="str"><v>PHy</v></cell><cell r="N499"><v>7</v></cell><cell r="O499" t="str"><v>HYD</v></cell></row><row r="500"><cell r="A500" t="str"><v>TRA.NAT</v></cell><cell r="B500" t="str"><v>Trapa natans</v></cell><cell r="C500"><v>10</v></cell><cell r="D500"><v>3</v></cell><cell r="E500" t="str"><v>L.      </v></cell></row><row r="500"><cell r="M500" t="str"><v>PHy</v></cell><cell r="N500"><v>7</v></cell><cell r="O500" t="str"><v>HYD</v></cell><cell r="P500" t="str"><v>IBMR</v></cell></row><row r="501"><cell r="A501" t="str"><v>UTR.AUS</v></cell><cell r="B501" t="str"><v>Utricularia australis        </v></cell></row><row r="501"><cell r="E501" t="str"><v>      </v></cell></row><row r="501"><cell r="M501" t="str"><v>PHy</v></cell><cell r="N501"><v>7</v></cell><cell r="O501" t="str"><v>HYD</v></cell></row><row r="502"><cell r="A502" t="str"><v>UTR.BRE</v></cell><cell r="B502" t="str"><v>Utricularia bremii</v></cell></row><row r="502"><cell r="E502" t="str"><v>Herr ex Kölliker    </v></cell></row><row r="502"><cell r="M502" t="str"><v>PHy</v></cell><cell r="N502"><v>7</v></cell><cell r="O502" t="str"><v>HYD</v></cell></row><row r="503"><cell r="A503" t="str"><v>UTR.GIB</v></cell><cell r="B503" t="str"><v>Utricularia gibba        </v></cell></row><row r="503"><cell r="E503" t="str"><v>      </v></cell></row><row r="503"><cell r="M503" t="str"><v>PHy</v></cell><cell r="N503"><v>7</v></cell><cell r="O503" t="str"><v>HYD</v></cell></row><row r="504"><cell r="A504" t="str"><v>UTR.INT</v></cell><cell r="B504" t="str"><v>Utricularia intermedia</v></cell></row><row r="504"><cell r="E504" t="str"><v>Hayne      </v></cell></row><row r="504"><cell r="M504" t="str"><v>PHy</v></cell><cell r="N504"><v>7</v></cell><cell r="O504" t="str"><v>HYD</v></cell></row><row r="505"><cell r="A505" t="str"><v>UTR.MIN</v></cell><cell r="B505" t="str"><v>Utricularia minor</v></cell></row><row r="505"><cell r="E505" t="str"><v>L.      </v></cell></row><row r="505"><cell r="M505" t="str"><v>PHy</v></cell><cell r="N505"><v>7</v></cell><cell r="O505" t="str"><v>HYD</v></cell></row><row r="506"><cell r="A506" t="str"><v>UTR.OCH</v></cell><cell r="B506" t="str"><v>Utricularia ochroleuca</v></cell></row><row r="506"><cell r="E506" t="str"><v>R. Hartman     </v></cell></row><row r="506"><cell r="M506" t="str"><v>PHy</v></cell><cell r="N506"><v>7</v></cell><cell r="O506" t="str"><v>HYD</v></cell></row><row r="507"><cell r="A507" t="str"><v>UTR.SPX</v></cell><cell r="B507" t="str"><v>Utricularia sp.        </v></cell></row><row r="507"><cell r="E507" t="str"><v>      </v></cell></row><row r="507"><cell r="M507" t="str"><v>PHy</v></cell><cell r="N507"><v>7</v></cell><cell r="O507" t="str"><v>HYD</v></cell></row><row r="508"><cell r="A508" t="str"><v>UTR.STY</v></cell><cell r="B508" t="str"><v>Utricularia stygia        </v></cell></row><row r="508"><cell r="E508" t="str"><v>      </v></cell></row><row r="508"><cell r="M508" t="str"><v>PHy</v></cell><cell r="N508"><v>7</v></cell><cell r="O508" t="str"><v>HYD</v></cell></row><row r="509"><cell r="A509" t="str"><v>UTR.VUL</v></cell><cell r="B509" t="str"><v>Utricularia vulgaris</v></cell></row><row r="509"><cell r="E509" t="str"><v>L.      </v></cell></row><row r="509"><cell r="M509" t="str"><v>PHy</v></cell><cell r="N509"><v>7</v></cell><cell r="O509" t="str"><v>HYD</v></cell></row><row r="510"><cell r="A510" t="str"><v>VAL.SPI</v></cell><cell r="B510" t="str"><v>Vallisneria spiralis</v></cell><cell r="C510"><v>8</v></cell><cell r="D510"><v>2</v></cell><cell r="E510" t="str"><v>L.      </v></cell></row><row r="510"><cell r="M510" t="str"><v>PHy</v></cell><cell r="N510"><v>7</v></cell><cell r="O510" t="str"><v>HYD</v></cell><cell r="P510" t="str"><v>IBMR</v></cell></row><row r="511"><cell r="A511" t="str"><v>WOL.ARH</v></cell><cell r="B511" t="str"><v>Wolffia arhiza</v></cell><cell r="C511"><v>6</v></cell><cell r="D511"><v>2</v></cell><cell r="E511" t="str"><v>(L.) Horkel & Wimmer   </v></cell></row><row r="511"><cell r="M511" t="str"><v>PHy</v></cell><cell r="N511"><v>7</v></cell><cell r="O511" t="str"><v>HYD</v></cell><cell r="P511" t="str"><v>IBMR</v></cell></row><row r="512"><cell r="A512" t="str"><v>ZAN.CON</v></cell><cell r="B512" t="str"><v>Zannichellia contorta        </v></cell></row><row r="512"><cell r="E512" t="str"><v>      </v></cell></row><row r="512"><cell r="M512" t="str"><v>PHy</v></cell><cell r="N512"><v>7</v></cell><cell r="O512" t="str"><v>HYD</v></cell></row><row r="513"><cell r="A513" t="str"><v>ZAN.MAJ</v></cell><cell r="B513" t="str"><v>Zannichellia major        </v></cell></row><row r="513"><cell r="E513" t="str"><v>      </v></cell></row><row r="513"><cell r="M513" t="str"><v>PHy</v></cell><cell r="N513"><v>7</v></cell><cell r="O513" t="str"><v>HYD</v></cell></row><row r="514"><cell r="A514" t="str"><v>ZAN.OBT</v></cell><cell r="B514" t="str"><v>Zannichellia obtusifolia        </v></cell></row><row r="514"><cell r="E514" t="str"><v>      </v></cell></row><row r="514"><cell r="M514" t="str"><v>PHy</v></cell><cell r="N514"><v>7</v></cell><cell r="O514" t="str"><v>HYD</v></cell></row><row r="515"><cell r="A515" t="str"><v>ZAN.PAL</v></cell><cell r="B515" t="str"><v>Zannichellia palustris</v></cell><cell r="C515"><v>5</v></cell><cell r="D515"><v>1</v></cell><cell r="E515" t="str"><v>L.      </v></cell></row><row r="515"><cell r="M515" t="str"><v>PHy</v></cell><cell r="N515"><v>7</v></cell><cell r="O515" t="str"><v>HYD</v></cell><cell r="P515" t="str"><v>IBMR</v></cell></row><row r="516"><cell r="A516" t="str"><v>ZAN.PAE</v></cell><cell r="B516" t="str"><v>Zannichellia palustris subsp. pedicellata</v></cell></row><row r="516"><cell r="E516" t="str"><v>(Wahlenb. & Rosen)    </v></cell></row><row r="516"><cell r="M516" t="str"><v>PHy</v></cell><cell r="N516"><v>7</v></cell><cell r="O516" t="str"><v>HYD</v></cell></row><row r="517"><cell r="A517" t="str"><v>ZAN.PED</v></cell><cell r="B517" t="str"><v>Zannichellia pedunculata</v></cell></row><row r="517"><cell r="E517" t="str"><v>Reich.      </v></cell></row><row r="517"><cell r="M517" t="str"><v>PHy</v></cell><cell r="N517"><v>7</v></cell><cell r="O517" t="str"><v>HYD</v></cell></row><row r="518"><cell r="A518" t="str"><v>ZAN.PEL</v></cell><cell r="B518" t="str"><v>Zannichellia peltata        </v></cell></row><row r="518"><cell r="E518" t="str"><v>      </v></cell></row><row r="518"><cell r="M518" t="str"><v>PHy</v></cell><cell r="N518"><v>7</v></cell><cell r="O518" t="str"><v>HYD</v></cell></row><row r="519"><cell r="A519" t="str"><v>ZAN.SPX</v></cell><cell r="B519" t="str"><v>Zannichellia sp.</v></cell></row><row r="519"><cell r="E519" t="str"><v>      </v></cell></row><row r="519"><cell r="M519" t="str"><v>PHy</v></cell><cell r="N519"><v>7</v></cell><cell r="O519" t="str"><v>HYD</v></cell></row><row r="520"><cell r="A520" t="str"><v>ZIZ.AQU</v></cell><cell r="B520" t="str"><v>Zizania aquatica        </v></cell></row><row r="520"><cell r="E520" t="str"><v>      </v></cell></row><row r="520"><cell r="M520" t="str"><v>PHy</v></cell><cell r="N520"><v>7</v></cell><cell r="O520" t="str"><v>HYD</v></cell></row><row r="521"><cell r="A521" t="str"><v>ZIZ.LAT</v></cell><cell r="B521" t="str"><v>Zizania latifolia        </v></cell></row><row r="521"><cell r="E521" t="str"><v>      </v></cell></row><row r="521"><cell r="M521" t="str"><v>PHy</v></cell><cell r="N521"><v>7</v></cell><cell r="O521" t="str"><v>HYD</v></cell></row><row r="522"><cell r="B522" t="str"><v>- HELOPHYTES et HYDROPHYTES / HELOPHYTES</v></cell></row><row r="522"><cell r="M522" t="str"><v>PHe</v></cell><cell r="N522"><v>7.9</v></cell></row><row r="522"><cell r="P522" t="str"><v>IBMR</v></cell></row><row r="523"><cell r="A523" t="str"><v>ACO.CAL</v></cell><cell r="B523" t="str"><v>Acorus calamus</v></cell><cell r="C523"><v>7</v></cell><cell r="D523"><v>3</v></cell><cell r="E523" t="str"><v>L.      </v></cell><cell r="F523" t="str"><v>Acorus vulgaris Simonk.</v></cell></row><row r="523"><cell r="M523" t="str"><v>PHe</v></cell><cell r="N523"><v>8</v></cell><cell r="O523" t="str"><v>HEL</v></cell><cell r="P523" t="str"><v>IBMR</v></cell></row><row r="524"><cell r="A524" t="str"><v>ACO.GRA</v></cell><cell r="B524" t="str"><v>Acorus gramineus        </v></cell></row><row r="524"><cell r="E524" t="str"><v>      </v></cell></row><row r="524"><cell r="M524" t="str"><v>PHe</v></cell><cell r="N524"><v>8</v></cell><cell r="O524" t="str"><v>HEL</v></cell></row><row r="525"><cell r="A525" t="str"><v>ACO.SPX</v></cell><cell r="B525" t="str"><v>Acorus sp.</v></cell></row><row r="525"><cell r="M525" t="str"><v>PHe</v></cell><cell r="N525"><v>8</v></cell><cell r="O525" t="str"><v>HEL</v></cell></row><row r="526"><cell r="A526" t="str"><v>AGR.STO</v></cell><cell r="B526" t="str"><v>Agrostis stolonifera</v></cell><cell r="C526"><v>10</v></cell><cell r="D526"><v>1</v></cell><cell r="E526" t="str"><v>L. fo. Aq.    </v></cell></row><row r="526"><cell r="M526" t="str"><v>PHe</v></cell><cell r="N526"><v>8</v></cell><cell r="O526" t="str"><v>HEL</v></cell><cell r="P526" t="str"><v>IBMR</v></cell></row><row r="527"><cell r="A527" t="str"><v>ALI.GRA</v></cell><cell r="B527" t="str"><v>Alisma gramineum</v></cell></row><row r="527"><cell r="E527" t="str"><v>Lej      </v></cell></row><row r="527"><cell r="M527" t="str"><v>PHe</v></cell><cell r="N527"><v>8</v></cell><cell r="O527" t="str"><v>HEL</v></cell></row><row r="528"><cell r="A528" t="str"><v>ALI.LAN</v></cell><cell r="B528" t="str"><v>Alisma lanceolatum</v></cell><cell r="C528"><v>9</v></cell><cell r="D528"><v>2</v></cell><cell r="E528" t="str"><v>With      </v></cell><cell r="F528" t="str"><v>Alisma plantago-aquatica L. subsp. Lanceolatum (With.)</v></cell><cell r="G528" t="str"><v>Alisma stenophyllum (Ascherson & Graebner) Samuelsson</v></cell></row><row r="528"><cell r="M528" t="str"><v>PHe</v></cell><cell r="N528"><v>8</v></cell><cell r="O528" t="str"><v>HYD/HEL</v></cell><cell r="P528" t="str"><v>IBMR</v></cell></row><row r="529"><cell r="A529" t="str"><v>ALI.PLA</v></cell><cell r="B529" t="str"><v>Alisma plantago-aquatica</v></cell><cell r="C529"><v>8</v></cell><cell r="D529"><v>2</v></cell><cell r="E529" t="str"><v>L.      </v></cell><cell r="F529" t="str"><v>Alisma subcordatum Rafin.</v></cell><cell r="G529" t="str"><v>Alisma brevipes E.L.Greene</v></cell><cell r="H529" t="str"><v>Alisma cordifolium Murray</v></cell><cell r="I529" t="str"><v>Alisma plantago-aquatica subsp. michaletii Ascherson & Graebner</v></cell></row><row r="529"><cell r="M529" t="str"><v>PHe</v></cell><cell r="N529"><v>8</v></cell><cell r="O529" t="str"><v>HEL</v></cell><cell r="P529" t="str"><v>IBMR</v></cell></row><row r="530"><cell r="A530" t="str"><v>ALI.SPX</v></cell><cell r="B530" t="str"><v>Alisma sp.</v></cell></row><row r="530"><cell r="E530" t="str"><v>      </v></cell></row><row r="530"><cell r="M530" t="str"><v>PHe</v></cell><cell r="N530"><v>8</v></cell><cell r="O530" t="str"><v>HEL</v></cell></row><row r="531"><cell r="A531" t="str"><v>API.REP</v></cell><cell r="B531" t="str"><v>Apium repens</v></cell></row><row r="531"><cell r="E531" t="str"><v>(Jacq.) Lag.     </v></cell></row><row r="531"><cell r="M531" t="str"><v>PHe</v></cell><cell r="N531"><v>8</v></cell><cell r="O531" t="str"><v>HYD/HEL</v></cell></row><row r="532"><cell r="A532" t="str"><v>API.SPX</v></cell><cell r="B532" t="str"><v>Apium sp.</v></cell></row><row r="532"><cell r="E532" t="str"><v>      </v></cell></row><row r="532"><cell r="M532" t="str"><v>PHe</v></cell><cell r="N532"><v>8</v></cell><cell r="O532" t="str"><v>HYD/HEL</v></cell></row><row r="533"><cell r="A533" t="str"><v>API.MOO</v></cell><cell r="B533" t="str"><v>Apium x moorei       </v></cell></row><row r="533"><cell r="E533" t="str"><v>      </v></cell></row><row r="533"><cell r="M533" t="str"><v>PHe</v></cell><cell r="N533"><v>8</v></cell><cell r="O533" t="str"><v>HYD/HEL</v></cell></row><row r="534"><cell r="A534" t="str"><v>BAC.MON</v></cell><cell r="B534" t="str"><v>Bacopa monnieri        </v></cell></row><row r="534"><cell r="E534" t="str"><v>      </v></cell></row><row r="534"><cell r="M534" t="str"><v>PHe</v></cell><cell r="N534"><v>8</v></cell><cell r="O534" t="str"><v>HYD/HEL</v></cell></row><row r="535"><cell r="A535" t="str"><v>BAL.RAN</v></cell><cell r="B535" t="str"><v>Baldellia ranunculoides</v></cell></row><row r="535"><cell r="E535" t="str"><v>L. parl     </v></cell></row><row r="535"><cell r="M535" t="str"><v>PHe</v></cell><cell r="N535"><v>8</v></cell><cell r="O535" t="str"><v>HYD/HEL</v></cell></row><row r="536"><cell r="A536" t="str"><v>BAL.RAR</v></cell><cell r="B536" t="str"><v>Baldellia ranunculoides subsp. ranunculoides      </v></cell></row><row r="536"><cell r="E536" t="str"><v>      </v></cell></row><row r="536"><cell r="M536" t="str"><v>PHe</v></cell><cell r="N536"><v>8</v></cell><cell r="O536" t="str"><v>HYD/HEL</v></cell></row><row r="537"><cell r="A537" t="str"><v>BAL.REP</v></cell><cell r="B537" t="str"><v>Baldellia ranunculoides subsp. repens      </v></cell></row><row r="537"><cell r="E537" t="str"><v>      </v></cell></row><row r="537"><cell r="M537" t="str"><v>PHe</v></cell><cell r="N537"><v>8</v></cell><cell r="O537" t="str"><v>HYD/HEL</v></cell></row><row r="538"><cell r="A538" t="str"><v>BEG.CAP</v></cell><cell r="B538" t="str"><v>Bergia capensis        </v></cell></row><row r="538"><cell r="E538" t="str"><v>      </v></cell></row><row r="538"><cell r="M538" t="str"><v>PHe</v></cell><cell r="N538"><v>8</v></cell><cell r="O538" t="str"><v>HYD/HEL</v></cell></row><row r="539"><cell r="A539" t="str"><v>BER.ERE</v></cell><cell r="B539" t="str"><v>Berula erecta (Sium erectum)</v></cell><cell r="C539"><v>14</v></cell><cell r="D539"><v>2</v></cell><cell r="E539" t="str"><v>(Huds.) Coville     </v></cell><cell r="F539" t="str"><v>Sium erectum Huds.</v></cell><cell r="G539" t="str"><v>Siella erecta</v></cell></row><row r="539"><cell r="M539" t="str"><v>PHe</v></cell><cell r="N539"><v>8</v></cell><cell r="O539" t="str"><v>HYD/HEL</v></cell><cell r="P539" t="str"><v>IBMR</v></cell></row><row r="540"><cell r="A540" t="str"><v>BER.SPX</v></cell><cell r="B540" t="str"><v>Berula sp.</v></cell></row><row r="540"><cell r="E540" t="str"><v>      </v></cell></row><row r="540"><cell r="M540" t="str"><v>PHe</v></cell><cell r="N540"><v>8</v></cell><cell r="O540" t="str"><v>HYD/HEL</v></cell></row><row r="541"><cell r="A541" t="str"><v>BOL.MAR</v></cell><cell r="B541" t="str"><v>Bolboschoenus maritimus</v></cell></row><row r="541"><cell r="E541" t="str"><v>(L.) Palla     </v></cell></row><row r="541"><cell r="M541" t="str"><v>PHe</v></cell><cell r="N541"><v>8</v></cell><cell r="O541" t="str"><v>HEL</v></cell></row><row r="542"><cell r="A542" t="str"><v>BRC.ERU</v></cell><cell r="B542" t="str"><v>Bracharia eruciformis        </v></cell></row><row r="542"><cell r="E542" t="str"><v>      </v></cell></row><row r="542"><cell r="M542" t="str"><v>PHe</v></cell><cell r="N542"><v>8</v></cell><cell r="O542" t="str"><v>HEL</v></cell></row><row r="543"><cell r="A543" t="str"><v>BUT.UMB</v></cell><cell r="B543" t="str"><v>Butomus umbellatus</v></cell><cell r="C543"><v>9</v></cell><cell r="D543"><v>2</v></cell><cell r="E543" t="str"><v>L.      </v></cell></row><row r="543"><cell r="M543" t="str"><v>PHe</v></cell><cell r="N543"><v>8</v></cell><cell r="O543" t="str"><v>HYD/HEL</v></cell><cell r="P543" t="str"><v>IBMR</v></cell></row><row r="544"><cell r="A544" t="str"><v>CAA.PAL</v></cell><cell r="B544" t="str"><v>Calla palustris        </v></cell></row><row r="544"><cell r="E544" t="str"><v>      </v></cell></row><row r="544"><cell r="M544" t="str"><v>PHe</v></cell><cell r="N544"><v>8</v></cell><cell r="O544" t="str"><v>HEL</v></cell></row><row r="545"><cell r="A545" t="str"><v>CAH.MIN</v></cell><cell r="B545" t="str"><v>Caltha minor</v></cell></row><row r="545"><cell r="E545" t="str"><v>auct. non Mill.    </v></cell></row><row r="545"><cell r="M545" t="str"><v>PHe</v></cell><cell r="N545"><v>8</v></cell><cell r="O545" t="str"><v>HYD/HEL</v></cell></row><row r="546"><cell r="A546" t="str"><v>CAH.PAL</v></cell><cell r="B546" t="str"><v>Caltha palustris</v></cell></row><row r="546"><cell r="E546" t="str"><v>L.      </v></cell></row><row r="546"><cell r="M546" t="str"><v>PHe</v></cell><cell r="N546"><v>8</v></cell><cell r="O546" t="str"><v>HYD/HEL</v></cell></row><row r="547"><cell r="A547" t="str"><v>CAM.RES</v></cell><cell r="B547" t="str"><v>Cardamine resedifolia</v></cell></row><row r="547"><cell r="E547" t="str"><v>L.      </v></cell></row><row r="547"><cell r="M547" t="str"><v>PHe</v></cell><cell r="N547"><v>8</v></cell><cell r="O547" t="str"><v>HEL</v></cell></row><row r="548"><cell r="A548" t="str"><v>CAR.ACU</v></cell><cell r="B548" t="str"><v>Carex acuta (Carex gracilis)    </v></cell></row><row r="548"><cell r="E548" t="str"><v>L.      </v></cell><cell r="F548" t="str"><v>Carex gracilis Curtis</v></cell></row><row r="548"><cell r="M548" t="str"><v>PHe</v></cell><cell r="N548"><v>8</v></cell><cell r="O548" t="str"><v>HEL</v></cell></row><row r="549"><cell r="A549" t="str"><v>CAR.ACT</v></cell><cell r="B549" t="str"><v>Carex acutiformis</v></cell></row><row r="549"><cell r="E549" t="str"><v>Ehrh.      </v></cell></row><row r="549"><cell r="M549" t="str"><v>PHe</v></cell><cell r="N549"><v>8</v></cell><cell r="O549" t="str"><v>HEL</v></cell></row><row r="550"><cell r="A550" t="str"><v>CAR.AQU</v></cell><cell r="B550" t="str"><v>Carex aquatilis        </v></cell></row><row r="550"><cell r="E550" t="str"><v>      </v></cell></row><row r="550"><cell r="M550" t="str"><v>PHe</v></cell><cell r="N550"><v>8</v></cell><cell r="O550" t="str"><v>HEL</v></cell></row><row r="551"><cell r="A551" t="str"><v>CAR.ELA</v></cell><cell r="B551" t="str"><v>Carex elata</v></cell></row><row r="551"><cell r="E551" t="str"><v>All.      </v></cell></row><row r="551"><cell r="M551" t="str"><v>PHe</v></cell><cell r="N551"><v>8</v></cell><cell r="O551" t="str"><v>HEL</v></cell></row><row r="552"><cell r="A552" t="str"><v>CAR.PAN</v></cell><cell r="B552" t="str"><v>Carex paniculata</v></cell></row><row r="552"><cell r="E552" t="str"><v>L.      </v></cell></row><row r="552"><cell r="M552" t="str"><v>PHe</v></cell><cell r="N552"><v>8</v></cell><cell r="O552" t="str"><v>HEL</v></cell></row><row r="553"><cell r="A553" t="str"><v>CAR.PEN</v></cell><cell r="B553" t="str"><v>Carex pendula  </v></cell></row><row r="553"><cell r="E553" t="str"><v>Huds.      </v></cell></row><row r="553"><cell r="M553" t="str"><v>PHe</v></cell><cell r="N553"><v>8</v></cell><cell r="O553" t="str"><v>HEL</v></cell></row><row r="554"><cell r="A554" t="str"><v>CAR.PSE</v></cell><cell r="B554" t="str"><v>Carex pseudocyperus</v></cell></row><row r="554"><cell r="E554" t="str"><v>L.      </v></cell></row><row r="554"><cell r="M554" t="str"><v>PHe</v></cell><cell r="N554"><v>8</v></cell><cell r="O554" t="str"><v>HEL</v></cell></row><row r="555"><cell r="A555" t="str"><v>CAR.RIP</v></cell><cell r="B555" t="str"><v>Carex riparia</v></cell></row><row r="555"><cell r="E555" t="str"><v>Curtis      </v></cell></row><row r="555"><cell r="M555" t="str"><v>PHe</v></cell><cell r="N555"><v>8</v></cell><cell r="O555" t="str"><v>HEL</v></cell></row><row r="556"><cell r="A556" t="str"><v>CAR.ROS</v></cell><cell r="B556" t="str"><v>Carex rostrata</v></cell><cell r="C556"><v>15</v></cell><cell r="D556"><v>3</v></cell><cell r="E556" t="str"><v>Stokes      </v></cell></row><row r="556"><cell r="M556" t="str"><v>PHe</v></cell><cell r="N556"><v>8</v></cell><cell r="O556" t="str"><v>HYD/HEL</v></cell><cell r="P556" t="str"><v>IBMR</v></cell></row><row r="557"><cell r="A557" t="str"><v>CAR.SPX</v></cell><cell r="B557" t="str"><v>Carex sp.</v></cell></row><row r="557"><cell r="E557" t="str"><v>      </v></cell></row><row r="557"><cell r="M557" t="str"><v>PHe</v></cell><cell r="N557"><v>8</v></cell><cell r="O557" t="str"><v>HEL</v></cell></row><row r="558"><cell r="A558" t="str"><v>CAR.VES</v></cell><cell r="B558" t="str"><v>Carex vesicaria</v></cell><cell r="C558"><v>12</v></cell><cell r="D558"><v>2</v></cell><cell r="E558" t="str"><v>L.      </v></cell></row><row r="558"><cell r="M558" t="str"><v>PHe</v></cell><cell r="N558"><v>8</v></cell><cell r="O558" t="str"><v>HYD/HEL</v></cell><cell r="P558" t="str"><v>IBMR</v></cell></row><row r="559"><cell r="A559" t="str"><v>CAR.VUL</v></cell><cell r="B559" t="str"><v>Carex vulpina</v></cell></row><row r="559"><cell r="E559" t="str"><v>L.      </v></cell></row><row r="559"><cell r="M559" t="str"><v>PHe</v></cell><cell r="N559"><v>8</v></cell><cell r="O559" t="str"><v>HEL</v></cell></row><row r="560"><cell r="A560" t="str"><v>CAU.VER</v></cell><cell r="B560" t="str"><v>Carum verticillatum        </v></cell></row><row r="560"><cell r="E560" t="str"><v>      </v></cell></row><row r="560"><cell r="M560" t="str"><v>PHe</v></cell><cell r="N560"><v>8</v></cell><cell r="O560" t="str"><v>HYD/HEL</v></cell></row><row r="561"><cell r="A561" t="str"><v>CAT.AQU</v></cell><cell r="B561" t="str"><v>Catabrosa aquatica</v></cell><cell r="C561"><v>11</v></cell><cell r="D561"><v>2</v></cell><cell r="E561" t="str"><v>(L.) Beauv.     </v></cell></row><row r="561"><cell r="M561" t="str"><v>PHe</v></cell><cell r="N561"><v>8</v></cell><cell r="O561" t="str"><v>HYD/HEL</v></cell><cell r="P561" t="str"><v>IBMR</v></cell></row><row r="562"><cell r="A562" t="str"><v>CIC.VIR</v></cell><cell r="B562" t="str"><v>Cicuta virosa</v></cell></row><row r="562"><cell r="E562" t="str"><v>L.      </v></cell></row><row r="562"><cell r="M562" t="str"><v>PHe</v></cell><cell r="N562"><v>8</v></cell><cell r="O562" t="str"><v>HEL</v></cell></row><row r="563"><cell r="A563" t="str"><v>CLD.MAR</v></cell><cell r="B563" t="str"><v>Cladium mariscus        </v></cell></row><row r="563"><cell r="E563" t="str"><v>      </v></cell></row><row r="563"><cell r="M563" t="str"><v>PHe</v></cell><cell r="N563"><v>8</v></cell><cell r="O563" t="str"><v>HEL</v></cell></row><row r="564"><cell r="A564" t="str"><v>COT.COR</v></cell><cell r="B564" t="str"><v>Cotula coronopifolia        </v></cell></row><row r="564"><cell r="E564" t="str"><v>      </v></cell></row><row r="564"><cell r="M564" t="str"><v>PHe</v></cell><cell r="N564"><v>8</v></cell><cell r="O564" t="str"><v>HEL</v></cell></row><row r="565"><cell r="A565" t="str"><v>CRS.AQU</v></cell><cell r="B565" t="str"><v>Crassula aquatica        </v></cell></row><row r="565"><cell r="E565" t="str"><v>      </v></cell></row><row r="565"><cell r="M565" t="str"><v>PHe</v></cell><cell r="N565"><v>8</v></cell><cell r="O565" t="str"><v>HEL</v></cell></row><row r="566"><cell r="A566" t="str"><v>CRS.HEL</v></cell><cell r="B566" t="str"><v>Crassula helmsii</v></cell></row><row r="566"><cell r="E566" t="str"><v>(Kirk) Cockayne     </v></cell></row><row r="566"><cell r="M566" t="str"><v>PHe</v></cell><cell r="N566"><v>8</v></cell><cell r="O566" t="str"><v>HEL</v></cell></row><row r="567"><cell r="A567" t="str"><v>CYP.FUS</v></cell><cell r="B567" t="str"><v>Cyperus fuscus</v></cell></row><row r="567"><cell r="E567" t="str"><v>L.      </v></cell></row><row r="567"><cell r="M567" t="str"><v>PHe</v></cell><cell r="N567"><v>8</v></cell><cell r="O567" t="str"><v>HEL</v></cell></row><row r="568"><cell r="A568" t="str"><v>DAM.ALI</v></cell><cell r="B568" t="str"><v>Damasonium alisma</v></cell></row><row r="568"><cell r="E568" t="str"><v>Miller      </v></cell></row><row r="568"><cell r="M568" t="str"><v>PHe</v></cell><cell r="N568"><v>8</v></cell><cell r="O568" t="str"><v>HYD/HEL</v></cell></row><row r="569"><cell r="A569" t="str"><v>DRO.ROT</v></cell><cell r="B569" t="str"><v>Drosera rotundifolia        </v></cell></row><row r="569"><cell r="E569" t="str"><v>      </v></cell></row><row r="569"><cell r="M569" t="str"><v>PHe</v></cell><cell r="N569"><v>8</v></cell><cell r="O569" t="str"><v>HEL</v></cell></row><row r="570"><cell r="A570" t="str"><v>ELE.ACI</v></cell><cell r="B570" t="str"><v>Eleocharis acicularis</v></cell></row><row r="570"><cell r="E570" t="str"><v>(L) Roem & Schult   </v></cell></row><row r="570"><cell r="M570" t="str"><v>PHe</v></cell><cell r="N570"><v>8</v></cell><cell r="O570" t="str"><v>HYD/HEL</v></cell></row><row r="571"><cell r="A571" t="str"><v>ELE.AUS</v></cell><cell r="B571" t="str"><v>Eleocharis austriaca</v></cell></row><row r="571"><cell r="E571" t="str"><v>Hayek      </v></cell></row><row r="571"><cell r="M571" t="str"><v>PHe</v></cell><cell r="N571"><v>8</v></cell><cell r="O571" t="str"><v>HYD/HEL</v></cell></row><row r="572"><cell r="A572" t="str"><v>ELE.PAL</v></cell><cell r="B572" t="str"><v>Eleocharis palustris</v></cell><cell r="C572"><v>12</v></cell><cell r="D572"><v>2</v></cell><cell r="E572" t="str"><v>(L.) Roemer & Schultes   </v></cell></row><row r="572"><cell r="M572" t="str"><v>PHe</v></cell><cell r="N572"><v>8</v></cell><cell r="O572" t="str"><v>HEL</v></cell><cell r="P572" t="str"><v>IBMR</v></cell></row><row r="573"><cell r="A573" t="str"><v>ELE.PAP</v></cell><cell r="B573" t="str"><v>Eleocharis palustris subsp. palustris      </v></cell></row><row r="573"><cell r="E573" t="str"><v>      </v></cell></row><row r="573"><cell r="M573" t="str"><v>PHe</v></cell><cell r="N573"><v>8</v></cell><cell r="O573" t="str"><v>HEL</v></cell></row><row r="574"><cell r="A574" t="str"><v>ELE.VUL</v></cell><cell r="B574" t="str"><v>Eleocharis palustris subsp. vulgaris      </v></cell></row><row r="574"><cell r="E574" t="str"><v>      </v></cell></row><row r="574"><cell r="M574" t="str"><v>PHe</v></cell><cell r="N574"><v>8</v></cell><cell r="O574" t="str"><v>HEL</v></cell></row><row r="575"><cell r="A575" t="str"><v>ELE.SPX</v></cell><cell r="B575" t="str"><v>Eleocharis sp.</v></cell></row><row r="575"><cell r="E575" t="str"><v>      </v></cell></row><row r="575"><cell r="M575" t="str"><v>PHe</v></cell><cell r="N575"><v>8</v></cell><cell r="O575" t="str"><v>HEL</v></cell></row><row r="576"><cell r="A576" t="str"><v>ERY.COR</v></cell><cell r="B576" t="str"><v>Eryngium corniculatum        </v></cell></row><row r="576"><cell r="E576" t="str"><v>      </v></cell></row><row r="576"><cell r="M576" t="str"><v>PHe</v></cell><cell r="N576"><v>8</v></cell><cell r="O576" t="str"><v>HYD/HEL</v></cell></row><row r="577"><cell r="A577" t="str"><v>ERY.GAL</v></cell><cell r="B577" t="str"><v>Eryngium galioides        </v></cell></row><row r="577"><cell r="E577" t="str"><v>      </v></cell></row><row r="577"><cell r="M577" t="str"><v>PHe</v></cell><cell r="N577"><v>8</v></cell><cell r="O577" t="str"><v>HYD/HEL</v></cell></row><row r="578"><cell r="A578" t="str"><v>ERY.VIV</v></cell><cell r="B578" t="str"><v>Eryngium viviparum        </v></cell></row><row r="578"><cell r="E578" t="str"><v>      </v></cell></row><row r="578"><cell r="M578" t="str"><v>PHe</v></cell><cell r="N578"><v>8</v></cell><cell r="O578" t="str"><v>HYD/HEL</v></cell></row><row r="579"><cell r="A579" t="str"><v>EUP.CAN</v></cell><cell r="B579" t="str"><v>Eupatorium cannabinum</v></cell></row><row r="579"><cell r="E579" t="str"><v>L.      </v></cell></row><row r="579"><cell r="M579" t="str"><v>PHe</v></cell><cell r="N579"><v>8</v></cell><cell r="O579" t="str"><v>HEL</v></cell></row><row r="580"><cell r="A580" t="str"><v>FIM.ANN</v></cell><cell r="B580" t="str"><v>Fimbristylis annua        </v></cell></row><row r="580"><cell r="E580" t="str"><v>      </v></cell></row><row r="580"><cell r="M580" t="str"><v>PHe</v></cell><cell r="N580"><v>8</v></cell><cell r="O580" t="str"><v>HEL</v></cell></row><row r="581"><cell r="A581" t="str"><v>FIM.BIS</v></cell><cell r="B581" t="str"><v>Fimbristylis bisumbellata        </v></cell></row><row r="581"><cell r="E581" t="str"><v>      </v></cell></row><row r="581"><cell r="M581" t="str"><v>PHe</v></cell><cell r="N581"><v>8</v></cell><cell r="O581" t="str"><v>HEL</v></cell></row><row r="582"><cell r="A582" t="str"><v>FIM.SQU</v></cell><cell r="B582" t="str"><v>Fimbristylis squarrosa        </v></cell></row><row r="582"><cell r="E582" t="str"><v>      </v></cell></row><row r="582"><cell r="M582" t="str"><v>PHe</v></cell><cell r="N582"><v>8</v></cell><cell r="O582" t="str"><v>HEL</v></cell></row><row r="583"><cell r="A583" t="str"><v>FUI.PUB</v></cell><cell r="B583" t="str"><v>Fuirena pubescens     </v></cell></row><row r="583"><cell r="E583" t="str"><v>(Poiret) Kunth     </v></cell></row><row r="583"><cell r="M583" t="str"><v>PHe</v></cell><cell r="N583"><v>8</v></cell><cell r="O583" t="str"><v>HEL</v></cell></row><row r="584"><cell r="A584" t="str"><v>GLY.AQU</v></cell><cell r="B584" t="str"><v>Glyceria aquatica (G. maxima)</v></cell></row><row r="584"><cell r="E584" t="str"><v>(L.) Wahlb.     </v></cell><cell r="F584" t="str"><v>Glyceria maxima Hartm. Holmb.</v></cell></row><row r="584"><cell r="M584" t="str"><v>PHe</v></cell><cell r="N584"><v>8</v></cell><cell r="O584" t="str"><v>HEL</v></cell></row><row r="585"><cell r="A585" t="str"><v>GLY.DEC</v></cell><cell r="B585" t="str"><v>Glyceria declinata</v></cell></row><row r="585"><cell r="E585" t="str"><v>Bréb.      </v></cell></row><row r="585"><cell r="M585" t="str"><v>PHe</v></cell><cell r="N585"><v>8</v></cell><cell r="O585" t="str"><v>HYD/HEL</v></cell></row><row r="586"><cell r="A586" t="str"><v>GLY.FLU</v></cell><cell r="B586" t="str"><v>Glyceria fluitans</v></cell><cell r="C586"><v>14</v></cell><cell r="D586"><v>2</v></cell><cell r="E586" t="str"><v>(L.) R. Br.    </v></cell></row><row r="586"><cell r="M586" t="str"><v>PHe</v></cell><cell r="N586"><v>8</v></cell><cell r="O586" t="str"><v>HYD/HEL</v></cell><cell r="P586" t="str"><v>IBMR</v></cell></row><row r="587"><cell r="A587" t="str"><v>GLY.NOT</v></cell><cell r="B587" t="str"><v>Glyceria notata</v></cell></row><row r="587"><cell r="E587" t="str"><v>Chevall      </v></cell></row><row r="587"><cell r="M587" t="str"><v>PHe</v></cell><cell r="N587"><v>8</v></cell><cell r="O587" t="str"><v>HYD/HEL</v></cell></row><row r="588"><cell r="A588" t="str"><v>GLY.SPX</v></cell><cell r="B588" t="str"><v>Glyceria sp.</v></cell></row><row r="588"><cell r="E588" t="str"><v>      </v></cell></row><row r="588"><cell r="M588" t="str"><v>PHe</v></cell><cell r="N588"><v>8</v></cell><cell r="O588" t="str"><v>HYD/HEL</v></cell></row><row r="589"><cell r="A589" t="str"><v>GRA.LIN</v></cell><cell r="B589" t="str"><v>Gratiola linifolia        </v></cell></row><row r="589"><cell r="E589" t="str"><v>      </v></cell></row><row r="589"><cell r="M589" t="str"><v>PHe</v></cell><cell r="N589"><v>8</v></cell><cell r="O589" t="str"><v>HEL</v></cell></row><row r="590"><cell r="A590" t="str"><v>GRA.NEG</v></cell><cell r="B590" t="str"><v>Gratiola neglecta        </v></cell></row><row r="590"><cell r="E590" t="str"><v>      </v></cell></row><row r="590"><cell r="M590" t="str"><v>PHe</v></cell><cell r="N590"><v>8</v></cell><cell r="O590" t="str"><v>HEL</v></cell></row><row r="591"><cell r="A591" t="str"><v>HEL.PAL</v></cell><cell r="B591" t="str"><v>Helodes palustris (Hypericum elodes)</v></cell><cell r="C591"><v>17</v></cell><cell r="D591"><v>3</v></cell><cell r="E591" t="str"><v>Spach      </v></cell><cell r="F591" t="str"><v>Hypericum elodes L.</v></cell></row><row r="591"><cell r="M591" t="str"><v>PHe</v></cell><cell r="N591"><v>8</v></cell><cell r="O591" t="str"><v>HYD/HEL</v></cell><cell r="P591" t="str"><v>IBMR</v></cell></row><row r="592"><cell r="A592" t="str"><v>HYR.SPX</v></cell><cell r="B592" t="str"><v>Hydrocotyle sp.</v></cell></row><row r="592"><cell r="E592" t="str"><v>      </v></cell></row><row r="592"><cell r="M592" t="str"><v>PHe</v></cell><cell r="N592"><v>8</v></cell><cell r="O592" t="str"><v>HYD/HEL</v></cell></row><row r="593"><cell r="A593" t="str"><v>HYR.VUL</v></cell><cell r="B593" t="str"><v>Hydrocotyle vulgaris</v></cell><cell r="C593"><v>14</v></cell><cell r="D593"><v>2</v></cell><cell r="E593" t="str"><v>L. fo aq.    </v></cell></row><row r="593"><cell r="M593" t="str"><v>PHe</v></cell><cell r="N593"><v>8</v></cell><cell r="O593" t="str"><v>HYD/HEL</v></cell><cell r="P593" t="str"><v>IBMR</v></cell></row><row r="594"><cell r="A594" t="str"><v>IRI.PSE</v></cell><cell r="B594" t="str"><v>Iris pseudacorus</v></cell><cell r="C594"><v>10</v></cell><cell r="D594"><v>1</v></cell><cell r="E594" t="str"><v>L.      </v></cell></row><row r="594"><cell r="M594" t="str"><v>PHe</v></cell><cell r="N594"><v>8</v></cell><cell r="O594" t="str"><v>HEL</v></cell><cell r="P594" t="str"><v>IBMR</v></cell></row><row r="595"><cell r="A595" t="str"><v>IRI.SPX</v></cell><cell r="B595" t="str"><v>Iris sp.</v></cell></row><row r="595"><cell r="E595" t="str"><v>      </v></cell></row><row r="595"><cell r="M595" t="str"><v>PHe</v></cell><cell r="N595"><v>8</v></cell><cell r="O595" t="str"><v>HEL</v></cell></row><row r="596"><cell r="A596" t="str"><v>ISN.PAL</v></cell><cell r="B596" t="str"><v>Isnardia palustris (Ludwigia palustris)</v></cell></row><row r="596"><cell r="E596" t="str"><v>L.      </v></cell><cell r="F596" t="str"><v>Ludwigia palustris (L.) Elliot </v></cell></row><row r="596"><cell r="M596" t="str"><v>PHe</v></cell><cell r="N596"><v>8</v></cell><cell r="O596" t="str"><v>HYD/HEL</v></cell></row><row r="597"><cell r="A597" t="str"><v>JUN.CON</v></cell><cell r="B597" t="str"><v>Juncus conglomeratus</v></cell></row><row r="597"><cell r="E597" t="str"><v>L.      </v></cell></row><row r="597"><cell r="M597" t="str"><v>PHe</v></cell><cell r="N597"><v>8</v></cell><cell r="O597" t="str"><v>HEL</v></cell></row><row r="598"><cell r="A598" t="str"><v>JUN.EFF</v></cell><cell r="B598" t="str"><v>Juncus effusus</v></cell></row><row r="598"><cell r="E598" t="str"><v>L.      </v></cell></row><row r="598"><cell r="M598" t="str"><v>PHe</v></cell><cell r="N598"><v>8</v></cell><cell r="O598" t="str"><v>HEL</v></cell></row><row r="599"><cell r="A599" t="str"><v>JUN.FIL</v></cell><cell r="B599" t="str"><v>Juncus filiformis</v></cell></row><row r="599"><cell r="E599" t="str"><v>L.      </v></cell></row><row r="599"><cell r="M599" t="str"><v>PHe</v></cell><cell r="N599"><v>8</v></cell><cell r="O599" t="str"><v>HEL</v></cell></row><row r="600"><cell r="A600" t="str"><v>JUN.INF</v></cell><cell r="B600" t="str"><v>Juncus inflexus</v></cell></row><row r="600"><cell r="E600" t="str"><v>L.      </v></cell></row><row r="600"><cell r="M600" t="str"><v>PHe</v></cell><cell r="N600"><v>8</v></cell><cell r="O600" t="str"><v>HEL</v></cell></row><row r="601"><cell r="A601" t="str"><v>JUN.MAR</v></cell><cell r="B601" t="str"><v>Juncus maritimus</v></cell></row><row r="601"><cell r="E601" t="str"><v>Lam.      </v></cell></row><row r="601"><cell r="M601" t="str"><v>PHe</v></cell><cell r="N601"><v>8</v></cell><cell r="O601" t="str"><v>HEL</v></cell></row><row r="602"><cell r="A602" t="str"><v>JUN.SPX</v></cell><cell r="B602" t="str"><v>Juncus sp.</v></cell></row><row r="602"><cell r="E602" t="str"><v>      </v></cell></row><row r="602"><cell r="M602" t="str"><v>PHe</v></cell><cell r="N602"><v>8</v></cell><cell r="O602" t="str"><v>HEL</v></cell></row><row r="603"><cell r="A603" t="str"><v>JUN.SUB</v></cell><cell r="B603" t="str"><v>Juncus subnodulosus (J. obtusiflorus)</v></cell><cell r="C603"><v>17</v></cell><cell r="D603"><v>3</v></cell><cell r="E603" t="str"><v>Schrank      </v></cell><cell r="F603" t="str"><v>Juncus obtusiflorus</v></cell></row><row r="603"><cell r="M603" t="str"><v>PHe</v></cell><cell r="N603"><v>8</v></cell><cell r="O603" t="str"><v>HYD/HEL</v></cell><cell r="P603" t="str"><v>IBMR</v></cell></row><row r="604"><cell r="A604" t="str"><v>LIL.SCI</v></cell><cell r="B604" t="str"><v>Lilaea scilloides        </v></cell></row><row r="604"><cell r="E604" t="str"><v>      </v></cell></row><row r="604"><cell r="M604" t="str"><v>PHe</v></cell><cell r="N604"><v>8</v></cell><cell r="O604" t="str"><v>HYD/HEL</v></cell></row><row r="605"><cell r="A605" t="str"><v>LUD.GRA</v></cell><cell r="B605" t="str"><v>Ludwigia grandiflora        </v></cell></row><row r="605"><cell r="E605" t="str"><v>      </v></cell></row><row r="605"><cell r="M605" t="str"><v>PHe</v></cell><cell r="N605"><v>8</v></cell><cell r="O605" t="str"><v>HYD/HEL</v></cell></row><row r="606"><cell r="A606" t="str"><v>LUD.PEP</v></cell><cell r="B606" t="str"><v>Ludwigia peploides </v></cell></row><row r="606"><cell r="E606" t="str"><v>(Kunth)      </v></cell></row><row r="606"><cell r="M606" t="str"><v>PHe</v></cell><cell r="N606"><v>8</v></cell><cell r="O606" t="str"><v>HYD/HEL</v></cell></row><row r="607"><cell r="A607" t="str"><v>LUD.SPX</v></cell><cell r="B607" t="str"><v>Ludwigia sp.</v></cell></row><row r="607"><cell r="E607" t="str"><v>      </v></cell></row><row r="607"><cell r="M607" t="str"><v>PHe</v></cell><cell r="N607"><v>8</v></cell><cell r="O607" t="str"><v>HYD/HEL</v></cell></row><row r="608"><cell r="A608" t="str"><v>LYC.EUR</v></cell><cell r="B608" t="str"><v>Lycopus europaeus</v></cell><cell r="C608"><v>11</v></cell><cell r="D608"><v>1</v></cell><cell r="E608" t="str"><v>L.      </v></cell></row><row r="608"><cell r="M608" t="str"><v>PHe</v></cell><cell r="N608"><v>8</v></cell><cell r="O608" t="str"><v>HEL</v></cell><cell r="P608" t="str"><v>IBMR</v></cell></row><row r="609"><cell r="A609" t="str"><v>LYS.NEM</v></cell><cell r="B609" t="str"><v>Lysimachia nemorum</v></cell></row><row r="609"><cell r="E609" t="str"><v>L.      </v></cell></row><row r="609"><cell r="M609" t="str"><v>PHe</v></cell><cell r="N609"><v>8</v></cell><cell r="O609" t="str"><v>HEL</v></cell></row><row r="610"><cell r="A610" t="str"><v>LYS.NUM</v></cell><cell r="B610" t="str"><v>Lysimachia nummularia</v></cell></row><row r="610"><cell r="E610" t="str"><v>L.      </v></cell></row><row r="610"><cell r="M610" t="str"><v>PHe</v></cell><cell r="N610"><v>8</v></cell><cell r="O610" t="str"><v>HEL</v></cell></row><row r="611"><cell r="A611" t="str"><v>LYS.SPX</v></cell><cell r="B611" t="str"><v>Lysimachia sp.</v></cell></row><row r="611"><cell r="E611" t="str"><v>      </v></cell></row><row r="611"><cell r="M611" t="str"><v>PHe</v></cell><cell r="N611"><v>8</v></cell><cell r="O611" t="str"><v>HEL</v></cell></row><row r="612"><cell r="A612" t="str"><v>LYS.THY</v></cell><cell r="B612" t="str"><v>Lysimachia thyrsiflora</v></cell></row><row r="612"><cell r="E612" t="str"><v>L.      </v></cell></row><row r="612"><cell r="M612" t="str"><v>PHe</v></cell><cell r="N612"><v>8</v></cell><cell r="O612" t="str"><v>HEL</v></cell></row><row r="613"><cell r="A613" t="str"><v>LYS.VUL</v></cell><cell r="B613" t="str"><v>Lysimachia vulgaris</v></cell></row><row r="613"><cell r="E613" t="str"><v>L.      </v></cell></row><row r="613"><cell r="M613" t="str"><v>PHe</v></cell><cell r="N613"><v>8</v></cell><cell r="O613" t="str"><v>HEL</v></cell></row><row r="614"><cell r="A614" t="str"><v>LYT.POR</v></cell><cell r="B614" t="str"><v>Lythrum portula (Peplis portula)</v></cell></row><row r="614"><cell r="E614" t="str"><v>      </v></cell><cell r="F614" t="str"><v>Peplis portula L.</v></cell></row><row r="614"><cell r="M614" t="str"><v>PHe</v></cell><cell r="N614"><v>8</v></cell><cell r="O614" t="str"><v>HYD/HEL</v></cell></row><row r="615"><cell r="A615" t="str"><v>LYT.LON</v></cell><cell r="B615" t="str"><v>Lythrum portula subsp. longidentata      </v></cell></row><row r="615"><cell r="E615" t="str"><v>      </v></cell></row><row r="615"><cell r="M615" t="str"><v>PHe</v></cell><cell r="N615"><v>8</v></cell><cell r="O615" t="str"><v>HYD/HEL</v></cell></row><row r="616"><cell r="A616" t="str"><v>LYT.POP</v></cell><cell r="B616" t="str"><v>Lythrum portula subsp. portula      </v></cell></row><row r="616"><cell r="E616" t="str"><v>      </v></cell></row><row r="616"><cell r="M616" t="str"><v>PHe</v></cell><cell r="N616"><v>8</v></cell><cell r="O616" t="str"><v>HYD/HEL</v></cell></row><row r="617"><cell r="A617" t="str"><v>LYT.SAL</v></cell><cell r="B617" t="str"><v>Lythrum salicaria</v></cell></row><row r="617"><cell r="E617" t="str"><v>L.      </v></cell></row><row r="617"><cell r="M617" t="str"><v>PHe</v></cell><cell r="N617"><v>8</v></cell><cell r="O617" t="str"><v>HEL</v></cell></row><row r="618"><cell r="A618" t="str"><v>LYT.SPX</v></cell><cell r="B618" t="str"><v>Lythrum sp.</v></cell></row><row r="618"><cell r="E618" t="str"><v>      </v></cell></row><row r="618"><cell r="M618" t="str"><v>PHe</v></cell><cell r="N618"><v>8</v></cell><cell r="O618" t="str"><v>HEL</v></cell></row><row r="619"><cell r="A619" t="str"><v>MEN.AQU</v></cell><cell r="B619" t="str"><v>Mentha aquatica</v></cell><cell r="C619"><v>12</v></cell><cell r="D619"><v>1</v></cell><cell r="E619" t="str"><v>L.      </v></cell></row><row r="619"><cell r="M619" t="str"><v>PHe</v></cell><cell r="N619"><v>8</v></cell><cell r="O619" t="str"><v>HYD/HEL</v></cell><cell r="P619" t="str"><v>IBMR</v></cell></row><row r="620"><cell r="A620" t="str"><v>MEN.ARV</v></cell><cell r="B620" t="str"><v>Mentha arvensis        </v></cell></row><row r="620"><cell r="E620" t="str"><v>      </v></cell></row><row r="620"><cell r="M620" t="str"><v>PHe</v></cell><cell r="N620"><v>8</v></cell><cell r="O620" t="str"><v>HEL</v></cell></row><row r="621"><cell r="A621" t="str"><v>MEN.LON</v></cell><cell r="B621" t="str"><v>Mentha longifolia</v></cell></row><row r="621"><cell r="E621" t="str"><v>(L.) Huds. em. Harley   </v></cell></row><row r="621"><cell r="M621" t="str"><v>PHe</v></cell><cell r="N621"><v>8</v></cell><cell r="O621" t="str"><v>HEL</v></cell></row><row r="622"><cell r="A622" t="str"><v>MEN.SPX</v></cell><cell r="B622" t="str"><v>Mentha sp.</v></cell></row><row r="622"><cell r="E622" t="str"><v>      </v></cell></row><row r="622"><cell r="M622" t="str"><v>PHe</v></cell><cell r="N622"><v>8</v></cell><cell r="O622" t="str"><v>HEL</v></cell></row><row r="623"><cell r="A623" t="str"><v>MEN.ROT</v></cell><cell r="B623" t="str"><v>Mentha x rotundifolia</v></cell></row><row r="623"><cell r="E623" t="str"><v>(L.) Huds     </v></cell></row><row r="623"><cell r="M623" t="str"><v>PHe</v></cell><cell r="N623"><v>8</v></cell><cell r="O623" t="str"><v>HEL</v></cell></row><row r="624"><cell r="A624" t="str"><v>MEN.VER</v></cell><cell r="B624" t="str"><v>Mentha x verticillata       </v></cell></row><row r="624"><cell r="E624" t="str"><v>      </v></cell></row><row r="624"><cell r="M624" t="str"><v>PHe</v></cell><cell r="N624"><v>8</v></cell><cell r="O624" t="str"><v>HEL</v></cell></row><row r="625"><cell r="A625" t="str"><v>MEY.TRI</v></cell><cell r="B625" t="str"><v>Menyanthes trifoliata</v></cell><cell r="C625"><v>16</v></cell><cell r="D625"><v>3</v></cell><cell r="E625" t="str"><v>L.      </v></cell></row><row r="625"><cell r="M625" t="str"><v>PHe</v></cell><cell r="N625"><v>8</v></cell><cell r="O625" t="str"><v>HYD/HEL</v></cell><cell r="P625" t="str"><v>IBMR</v></cell></row><row r="626"><cell r="A626" t="str"><v>MON.KOR</v></cell><cell r="B626" t="str"><v>Monochoria korsakowii        </v></cell></row><row r="626"><cell r="E626" t="str"><v>      </v></cell></row><row r="626"><cell r="M626" t="str"><v>PHe</v></cell><cell r="N626"><v>8</v></cell><cell r="O626" t="str"><v>HYD/HEL</v></cell></row><row r="627"><cell r="A627" t="str"><v>MON.FON</v></cell><cell r="B627" t="str"><v>Montia fontana</v></cell><cell r="C627"><v>15</v></cell><cell r="D627"><v>2</v></cell><cell r="E627" t="str"><v>L. agg.     </v></cell></row><row r="627"><cell r="M627" t="str"><v>PHe</v></cell><cell r="N627"><v>8</v></cell><cell r="O627" t="str"><v>HYD/HEL</v></cell><cell r="P627" t="str"><v>IBMR</v></cell></row><row r="628"><cell r="A628" t="str"><v>MON.AMP</v></cell><cell r="B628" t="str"><v>Montia fontana subsp. amporitana      </v></cell></row><row r="628"><cell r="E628" t="str"><v>      </v></cell></row><row r="628"><cell r="M628" t="str"><v>PHe</v></cell><cell r="N628"><v>8</v></cell><cell r="O628" t="str"><v>HYD/HEL</v></cell></row><row r="629"><cell r="A629" t="str"><v>MON.FOF</v></cell><cell r="B629" t="str"><v>Montia fontana subsp. fontana      </v></cell></row><row r="629"><cell r="E629" t="str"><v>      </v></cell></row><row r="629"><cell r="M629" t="str"><v>PHe</v></cell><cell r="N629"><v>8</v></cell><cell r="O629" t="str"><v>HYD/HEL</v></cell></row><row r="630"><cell r="A630" t="str"><v>MON.MIN</v></cell><cell r="B630" t="str"><v>Montia fontana subsp. minor      </v></cell></row><row r="630"><cell r="E630" t="str"><v>      </v></cell></row><row r="630"><cell r="M630" t="str"><v>PHe</v></cell><cell r="N630"><v>8</v></cell><cell r="O630" t="str"><v>HYD/HEL</v></cell></row><row r="631"><cell r="A631" t="str"><v>MON.VAR</v></cell><cell r="B631" t="str"><v>Montia fontana subsp. variabilis</v></cell></row><row r="631"><cell r="E631" t="str"><v>S. M. Walters    </v></cell></row><row r="631"><cell r="M631" t="str"><v>PHe</v></cell><cell r="N631"><v>8</v></cell><cell r="O631" t="str"><v>HYD/HEL</v></cell></row><row r="632"><cell r="A632" t="str"><v>MON.SPX</v></cell><cell r="B632" t="str"><v>Montia sp.</v></cell></row><row r="632"><cell r="E632" t="str"><v>      </v></cell></row><row r="632"><cell r="M632" t="str"><v>PHe</v></cell><cell r="N632"><v>8</v></cell><cell r="O632" t="str"><v>HYD/HEL</v></cell></row><row r="633"><cell r="A633" t="str"><v>MUR.BLU</v></cell><cell r="B633" t="str"><v>Murdannia blumei        </v></cell></row><row r="633"><cell r="E633" t="str"><v>      </v></cell></row><row r="633"><cell r="M633" t="str"><v>PHe</v></cell><cell r="N633"><v>8</v></cell><cell r="O633" t="str"><v>HYD/HEL</v></cell></row><row r="634"><cell r="A634" t="str"><v>MYO.PAL</v></cell><cell r="B634" t="str"><v>Myosotis gr. palustris (M. scorpioïdes)</v></cell><cell r="C634"><v>12</v></cell><cell r="D634"><v>1</v></cell><cell r="E634" t="str"><v>      </v></cell><cell r="F634" t="str"><v>Myosotis scorpioïdes L.</v></cell></row><row r="634"><cell r="M634" t="str"><v>PHe</v></cell><cell r="N634"><v>8</v></cell><cell r="O634" t="str"><v>HYD/HEL</v></cell><cell r="P634" t="str"><v>IBMR</v></cell></row><row r="635"><cell r="A635" t="str"><v>MYO.LAX</v></cell><cell r="B635" t="str"><v>Myosotis laxa        </v></cell></row><row r="635"><cell r="E635" t="str"><v>      </v></cell></row><row r="635"><cell r="M635" t="str"><v>PHe</v></cell><cell r="N635"><v>8</v></cell><cell r="O635" t="str"><v>HEL</v></cell></row><row r="636"><cell r="A636" t="str"><v>MYO.SEC</v></cell><cell r="B636" t="str"><v>Myosotis secunda</v></cell></row><row r="636"><cell r="E636" t="str"><v>Murray      </v></cell></row><row r="636"><cell r="M636" t="str"><v>PHe</v></cell><cell r="N636"><v>8</v></cell><cell r="O636" t="str"><v>HEL</v></cell></row><row r="637"><cell r="A637" t="str"><v>MYO.SPX</v></cell><cell r="B637" t="str"><v>Myosotis sp.</v></cell></row><row r="637"><cell r="E637" t="str"><v>      </v></cell></row><row r="637"><cell r="M637" t="str"><v>PHe</v></cell><cell r="N637"><v>8</v></cell><cell r="O637" t="str"><v>HEL</v></cell></row><row r="638"><cell r="A638" t="str"><v>MYO.STO</v></cell><cell r="B638" t="str"><v>Myosotis stolonifera        </v></cell></row><row r="638"><cell r="E638" t="str"><v>      </v></cell></row><row r="638"><cell r="M638" t="str"><v>PHe</v></cell><cell r="N638"><v>8</v></cell><cell r="O638" t="str"><v>HEL</v></cell></row><row r="639"><cell r="A639" t="str"><v>MYR.AQU</v></cell><cell r="B639" t="str"><v>Myriophyllum aquaticum        </v></cell></row><row r="639"><cell r="E639" t="str"><v>      </v></cell></row><row r="639"><cell r="M639" t="str"><v>PHe</v></cell><cell r="N639"><v>8</v></cell><cell r="O639" t="str"><v>HYD/HEL</v></cell></row><row r="640"><cell r="A640" t="str"><v>NAS.OFF</v></cell><cell r="B640" t="str"><v>Nasturtium officinale (Rorippa nasturtium-aquaticum)</v></cell><cell r="C640"><v>11</v></cell><cell r="D640"><v>1</v></cell><cell r="E640" t="str"><v>sl R. Br.    </v></cell><cell r="F640" t="str"><v>Rorippa nasturtium-aquaticum L.</v></cell></row><row r="640"><cell r="M640" t="str"><v>PHe</v></cell><cell r="N640"><v>8</v></cell><cell r="O640" t="str"><v>HYD/HEL</v></cell><cell r="P640" t="str"><v>IBMR</v></cell></row><row r="641"><cell r="A641" t="str"><v>OEN.AQU</v></cell><cell r="B641" t="str"><v>Oenanthe aquatica</v></cell><cell r="C641"><v>11</v></cell><cell r="D641"><v>2</v></cell><cell r="E641" t="str"><v>(L.) Poiret     </v></cell></row><row r="641"><cell r="M641" t="str"><v>PHe</v></cell><cell r="N641"><v>8</v></cell><cell r="O641" t="str"><v>HYD/HEL</v></cell><cell r="P641" t="str"><v>IBMR</v></cell></row><row r="642"><cell r="A642" t="str"><v>OEN.CRO</v></cell><cell r="B642" t="str"><v>Oenanthe crocata</v></cell><cell r="C642"><v>12</v></cell><cell r="D642"><v>2</v></cell><cell r="E642" t="str"><v>L.      </v></cell></row><row r="642"><cell r="M642" t="str"><v>PHe</v></cell><cell r="N642"><v>8</v></cell><cell r="O642" t="str"><v>HYD/HEL</v></cell><cell r="P642" t="str"><v>IBMR</v></cell></row><row r="643"><cell r="A643" t="str"><v>OEN.FIS</v></cell><cell r="B643" t="str"><v>Oenanthe fistulosa</v></cell></row><row r="643"><cell r="E643" t="str"><v>L.      </v></cell></row><row r="643"><cell r="M643" t="str"><v>PHe</v></cell><cell r="N643"><v>8</v></cell><cell r="O643" t="str"><v>HYD/HEL</v></cell></row><row r="644"><cell r="A644" t="str"><v>OEN.FLU</v></cell><cell r="B644" t="str"><v>Oenanthe fluviatilis  </v></cell><cell r="C644"><v>10</v></cell><cell r="D644"><v>2</v></cell><cell r="E644" t="str"><v>(Bab.) Coleman     </v></cell></row><row r="644"><cell r="M644" t="str"><v>PHe</v></cell><cell r="N644"><v>8</v></cell><cell r="O644" t="str"><v>HYD/HEL</v></cell><cell r="P644" t="str"><v>IBMR</v></cell></row><row r="645"><cell r="A645" t="str"><v>OEN.SPX</v></cell><cell r="B645" t="str"><v>Oenanthe sp.</v></cell></row><row r="645"><cell r="E645" t="str"><v>      </v></cell></row><row r="645"><cell r="M645" t="str"><v>PHe</v></cell><cell r="N645"><v>8</v></cell><cell r="O645" t="str"><v>HYD/HEL</v></cell></row><row r="646"><cell r="A646" t="str"><v>PHA.ARU</v></cell><cell r="B646" t="str"><v>Phalaris arundinacea</v></cell><cell r="C646"><v>10</v></cell><cell r="D646"><v>1</v></cell><cell r="E646" t="str"><v>L.      </v></cell></row><row r="646"><cell r="M646" t="str"><v>PHe</v></cell><cell r="N646"><v>8</v></cell><cell r="O646" t="str"><v>HYD/HEL</v></cell><cell r="P646" t="str"><v>IBMR</v></cell></row><row r="647"><cell r="A647" t="str"><v>PHR.AUS</v></cell><cell r="B647" t="str"><v>Phragmites australis</v></cell><cell r="C647"><v>9</v></cell><cell r="D647"><v>2</v></cell><cell r="E647" t="str"><v>Cav. Trin. Ex Steud   </v></cell><cell r="F647" t="str"><v>Phragmites communis Trin.</v></cell></row><row r="647"><cell r="M647" t="str"><v>PHe</v></cell><cell r="N647"><v>8</v></cell><cell r="O647" t="str"><v>HEL</v></cell><cell r="P647" t="str"><v>IBMR</v></cell></row><row r="648"><cell r="A648" t="str"><v>POL.AMP</v></cell><cell r="B648" t="str"><v>Polygonum amphibium (Persicaria amphibia)</v></cell><cell r="C648"><v>9</v></cell><cell r="D648"><v>2</v></cell><cell r="E648" t="str"><v>L.      </v></cell><cell r="F648" t="str"><v>Persicaria amphibia L. Gray</v></cell></row><row r="648"><cell r="M648" t="str"><v>PHe</v></cell><cell r="N648"><v>8</v></cell><cell r="O648" t="str"><v>HYD/HEL</v></cell><cell r="P648" t="str"><v>IBMR</v></cell></row><row r="649"><cell r="A649" t="str"><v>POL.HYD</v></cell><cell r="B649" t="str"><v>Polygonum hydropiper (Persicaria hydropiper)</v></cell><cell r="C649"><v>8</v></cell><cell r="D649"><v>2</v></cell><cell r="E649" t="str"><v>L. fo. Aq.    </v></cell><cell r="F649" t="str"><v>Persicaria hydropiper L. Delarbe</v></cell></row><row r="649"><cell r="M649" t="str"><v>PHe</v></cell><cell r="N649"><v>8</v></cell><cell r="O649" t="str"><v>HEL</v></cell><cell r="P649" t="str"><v>IBMR</v></cell></row><row r="650"><cell r="A650" t="str"><v>POE.PAL</v></cell><cell r="B650" t="str"><v>Potentilla palustris</v></cell><cell r="C650"><v>16</v></cell><cell r="D650"><v>3</v></cell><cell r="E650" t="str"><v>(L.) Scop.     </v></cell></row><row r="650"><cell r="M650" t="str"><v>PHe</v></cell><cell r="N650"><v>8</v></cell><cell r="O650" t="str"><v>HEL</v></cell><cell r="P650" t="str"><v>IBMR</v></cell></row><row r="651"><cell r="A651" t="str"><v>POE.SPX</v></cell><cell r="B651" t="str"><v>Potentilla sp.</v></cell></row><row r="651"><cell r="E651" t="str"><v>      </v></cell></row><row r="651"><cell r="M651" t="str"><v>PHe</v></cell><cell r="N651"><v>8</v></cell><cell r="O651" t="str"><v>HEL</v></cell></row><row r="652"><cell r="A652" t="str"><v>RAN.FLF</v></cell><cell r="B652" t="str"><v>Ranunculus flammula subsp. flammula      </v></cell></row><row r="652"><cell r="E652" t="str"><v>      </v></cell></row><row r="652"><cell r="M652" t="str"><v>PHe</v></cell><cell r="N652"><v>8</v></cell><cell r="O652" t="str"><v>HYD/HEL</v></cell></row><row r="653"><cell r="A653" t="str"><v>RAN.MIN</v></cell><cell r="B653" t="str"><v>Ranunculus flammula subsp. minimus      </v></cell></row><row r="653"><cell r="E653" t="str"><v>      </v></cell></row><row r="653"><cell r="M653" t="str"><v>PHe</v></cell><cell r="N653"><v>8</v></cell><cell r="O653" t="str"><v>HYD/HEL</v></cell></row><row r="654"><cell r="A654" t="str"><v>RAN.SCO</v></cell><cell r="B654" t="str"><v>Ranunculus flammula subsp. scoticus      </v></cell></row><row r="654"><cell r="E654" t="str"><v>      </v></cell></row><row r="654"><cell r="M654" t="str"><v>PHe</v></cell><cell r="N654"><v>8</v></cell><cell r="O654" t="str"><v>HYD/HEL</v></cell></row><row r="655"><cell r="A655" t="str"><v>RAN.LIN</v></cell><cell r="B655" t="str"><v>Ranunculus lingua        </v></cell></row><row r="655"><cell r="E655" t="str"><v>      </v></cell></row><row r="655"><cell r="M655" t="str"><v>PHe</v></cell><cell r="N655"><v>8</v></cell><cell r="O655" t="str"><v>HEL</v></cell></row><row r="656"><cell r="A656" t="str"><v>REY.JAP</v></cell><cell r="B656" t="str"><v>Reynoutria japonica</v></cell></row><row r="656"><cell r="E656" t="str"><v>Houtt.      </v></cell><cell r="F656" t="str"><v>Blyxa japonica</v></cell></row><row r="656"><cell r="M656" t="str"><v>PHe</v></cell><cell r="N656"><v>8</v></cell><cell r="O656" t="str"><v>HYD/HEL</v></cell></row><row r="657"><cell r="A657" t="str"><v>ROR.AMP</v></cell><cell r="B657" t="str"><v>Rorippa amphibia</v></cell><cell r="C657"><v>9</v></cell><cell r="D657"><v>1</v></cell><cell r="E657" t="str"><v>(L.) Besser     </v></cell></row><row r="657"><cell r="M657" t="str"><v>PHe</v></cell><cell r="N657"><v>8</v></cell><cell r="O657" t="str"><v>HEL</v></cell><cell r="P657" t="str"><v>IBMR</v></cell></row><row r="658"><cell r="A658" t="str"><v>ROR.ARM</v></cell><cell r="B658" t="str"><v>Rorippa cf x armoracioides      </v></cell></row><row r="658"><cell r="E658" t="str"><v>      </v></cell></row><row r="658"><cell r="M658" t="str"><v>PHe</v></cell><cell r="N658"><v>8</v></cell><cell r="O658" t="str"><v>HYD/HEL</v></cell></row><row r="659"><cell r="A659" t="str"><v>ROR.ERY</v></cell><cell r="B659" t="str"><v>Rorippa cf x erythrocaulis      </v></cell></row><row r="659"><cell r="E659" t="str"><v>      </v></cell></row><row r="659"><cell r="M659" t="str"><v>PHe</v></cell><cell r="N659"><v>8</v></cell><cell r="O659" t="str"><v>HYD/HEL</v></cell></row><row r="660"><cell r="A660" t="str"><v>ROR.MIC</v></cell><cell r="B660" t="str"><v>Rorippa microphylla</v></cell></row><row r="660"><cell r="E660" t="str"><v>Boenn      </v></cell></row><row r="660"><cell r="M660" t="str"><v>PHe</v></cell><cell r="N660"><v>8</v></cell><cell r="O660" t="str"><v>HYD/HEL</v></cell></row><row r="661"><cell r="A661" t="str"><v>ROR.SPX</v></cell><cell r="B661" t="str"><v>Rorippa sp.</v></cell></row><row r="661"><cell r="E661" t="str"><v>      </v></cell></row><row r="661"><cell r="M661" t="str"><v>PHe</v></cell><cell r="N661"><v>8</v></cell><cell r="O661" t="str"><v>HYD/HEL</v></cell></row><row r="662"><cell r="A662" t="str"><v>ROT.FIL</v></cell><cell r="B662" t="str"><v>Rotala filiformis        </v></cell></row><row r="662"><cell r="E662" t="str"><v>      </v></cell></row><row r="662"><cell r="M662" t="str"><v>PHe</v></cell><cell r="N662"><v>8</v></cell><cell r="O662" t="str"><v>HYD/HEL</v></cell></row><row r="663"><cell r="A663" t="str"><v>ROT.IND</v></cell><cell r="B663" t="str"><v>Rotala indica        </v></cell></row><row r="663"><cell r="E663" t="str"><v>      </v></cell></row><row r="663"><cell r="M663" t="str"><v>PHe</v></cell><cell r="N663"><v>8</v></cell><cell r="O663" t="str"><v>HYD/HEL</v></cell></row><row r="664"><cell r="A664" t="str"><v>RUM.HYD</v></cell><cell r="B664" t="str"><v>Rumex hydrolapathum</v></cell></row><row r="664"><cell r="E664" t="str"><v>Huds.      </v></cell></row><row r="664"><cell r="M664" t="str"><v>PHe</v></cell><cell r="N664"><v>8</v></cell><cell r="O664" t="str"><v>HEL</v></cell></row><row r="665"><cell r="A665" t="str"><v>SAG.LAT</v></cell><cell r="B665" t="str"><v>Sagittaria latifolia        </v></cell></row><row r="665"><cell r="E665" t="str"><v>      </v></cell></row><row r="665"><cell r="M665" t="str"><v>PHe</v></cell><cell r="N665"><v>8</v></cell><cell r="O665" t="str"><v>HYD/HEL</v></cell></row><row r="666"><cell r="A666" t="str"><v>SAG.NAT</v></cell><cell r="B666" t="str"><v>Sagittaria natans        </v></cell></row><row r="666"><cell r="E666" t="str"><v>      </v></cell></row><row r="666"><cell r="M666" t="str"><v>PHe</v></cell><cell r="N666"><v>8</v></cell><cell r="O666" t="str"><v>HYD/HEL</v></cell></row><row r="667"><cell r="A667" t="str"><v>SAG.RIG</v></cell><cell r="B667" t="str"><v>Sagittaria rigida        </v></cell></row><row r="667"><cell r="E667" t="str"><v>      </v></cell></row><row r="667"><cell r="M667" t="str"><v>PHe</v></cell><cell r="N667"><v>8</v></cell><cell r="O667" t="str"><v>HYD/HEL</v></cell></row><row r="668"><cell r="A668" t="str"><v>SAG.SAG</v></cell><cell r="B668" t="str"><v>Sagittaria sagittifolia</v></cell><cell r="C668"><v>6</v></cell><cell r="D668"><v>2</v></cell><cell r="E668" t="str"><v>L.      </v></cell></row><row r="668"><cell r="M668" t="str"><v>PHe</v></cell><cell r="N668"><v>8</v></cell><cell r="O668" t="str"><v>HYD/HEL</v></cell><cell r="P668" t="str"><v>IBMR</v></cell></row><row r="669"><cell r="A669" t="str"><v>SAG.SUB</v></cell><cell r="B669" t="str"><v>Sagittaria subulata        </v></cell></row><row r="669"><cell r="E669" t="str"><v>      </v></cell></row><row r="669"><cell r="M669" t="str"><v>PHe</v></cell><cell r="N669"><v>8</v></cell><cell r="O669" t="str"><v>HYD/HEL</v></cell></row><row r="670"><cell r="A670" t="str"><v>SAM.VAL</v></cell><cell r="B670" t="str"><v>Samolus valerandi</v></cell></row><row r="670"><cell r="E670" t="str"><v>L.      </v></cell></row><row r="670"><cell r="M670" t="str"><v>PHe</v></cell><cell r="N670"><v>8</v></cell><cell r="O670" t="str"><v>HYD/HEL</v></cell></row><row r="671"><cell r="A671" t="str"><v>SCN.PUN</v></cell><cell r="B671" t="str"><v>Schoenoplectus pungens        </v></cell></row><row r="671"><cell r="E671" t="str"><v>      </v></cell></row><row r="671"><cell r="M671" t="str"><v>PHe</v></cell><cell r="N671"><v>8</v></cell><cell r="O671" t="str"><v>HYD/HEL</v></cell></row><row r="672"><cell r="A672" t="str"><v>SCN.SUP</v></cell><cell r="B672" t="str"><v>Schoenoplectus supinus        </v></cell></row><row r="672"><cell r="E672" t="str"><v>      </v></cell></row><row r="672"><cell r="M672" t="str"><v>PHe</v></cell><cell r="N672"><v>8</v></cell><cell r="O672" t="str"><v>HYD/HEL</v></cell></row><row r="673"><cell r="A673" t="str"><v>SCN.TAB</v></cell><cell r="B673" t="str"><v>Schoenoplectus tabermaemontani</v></cell></row><row r="673"><cell r="E673" t="str"><v>      </v></cell><cell r="F673" t="str"><v>Scirpus tabernaemontani </v></cell></row><row r="673"><cell r="M673" t="str"><v>PHe</v></cell><cell r="N673"><v>8</v></cell><cell r="O673" t="str"><v>HYD/HEL</v></cell></row><row r="674"><cell r="A674" t="str"><v>SCP.HOL</v></cell><cell r="B674" t="str"><v>Scirpoides holoschoenus        </v></cell></row><row r="674"><cell r="E674" t="str"><v>      </v></cell></row><row r="674"><cell r="M674" t="str"><v>PHe</v></cell><cell r="N674"><v>8</v></cell><cell r="O674" t="str"><v>HEL</v></cell></row><row r="675"><cell r="A675" t="str"><v>SCI.LAC</v></cell><cell r="B675" t="str"><v>Scirpus lacustris (Schoenoplectus lacustris)</v></cell><cell r="C675"><v>8</v></cell><cell r="D675"><v>2</v></cell><cell r="E675" t="str"><v>L.      </v></cell><cell r="F675" t="str"><v>Schoenoplectus lacustris</v></cell></row><row r="675"><cell r="M675" t="str"><v>PHe</v></cell><cell r="N675"><v>8</v></cell><cell r="O675" t="str"><v>HYD/HEL</v></cell><cell r="P675" t="str"><v>IBMR</v></cell></row><row r="676"><cell r="A676" t="str"><v>SCI.SPX</v></cell><cell r="B676" t="str"><v>Scirpus sp.</v></cell></row><row r="676"><cell r="E676" t="str"><v>      </v></cell></row><row r="676"><cell r="M676" t="str"><v>PHe</v></cell><cell r="N676"><v>8</v></cell><cell r="O676" t="str"><v>HYD/HEL</v></cell></row><row r="677"><cell r="A677" t="str"><v>SCI.SYL</v></cell><cell r="B677" t="str"><v>Scirpus sylvaticus</v></cell><cell r="C677"><v>10</v></cell><cell r="D677"><v>2</v></cell><cell r="E677" t="str"><v>L.      </v></cell></row><row r="677"><cell r="M677" t="str"><v>PHe</v></cell><cell r="N677"><v>8</v></cell><cell r="O677" t="str"><v>HYG/HEL</v></cell><cell r="P677" t="str"><v>IBMR</v></cell></row><row r="678"><cell r="A678" t="str"><v>SCI.TRI</v></cell><cell r="B678" t="str"><v>Scirpus triquetrus        </v></cell></row><row r="678"><cell r="E678" t="str"><v>      </v></cell></row><row r="678"><cell r="M678" t="str"><v>PHe</v></cell><cell r="N678"><v>8</v></cell><cell r="O678" t="str"><v>HEL</v></cell></row><row r="679"><cell r="A679" t="str"><v>SHI.RIV</v></cell><cell r="B679" t="str"><v>Shinnersia rivularis        </v></cell></row><row r="679"><cell r="E679" t="str"><v>      </v></cell></row><row r="679"><cell r="M679" t="str"><v>PHe</v></cell><cell r="N679"><v>8</v></cell><cell r="O679" t="str"><v>HYD/HEL</v></cell></row><row r="680"><cell r="A680" t="str"><v>SPA.ANR</v></cell><cell r="B680" t="str"><v>Sparganium angustifolium/emersum x gramineum      </v></cell></row><row r="680"><cell r="E680" t="str"><v>      </v></cell></row><row r="680"><cell r="M680" t="str"><v>PHe</v></cell><cell r="N680"><v>8</v></cell><cell r="O680" t="str"><v>HYD/HEL</v></cell></row><row r="681"><cell r="A681" t="str"><v>SPA.ERE</v></cell><cell r="B681" t="str"><v>Sparganium erectum</v></cell><cell r="C681"><v>10</v></cell><cell r="D681"><v>1</v></cell><cell r="E681" t="str"><v>L.      </v></cell></row><row r="681"><cell r="M681" t="str"><v>PHe</v></cell><cell r="N681"><v>8</v></cell><cell r="O681" t="str"><v>HYD/HEL</v></cell><cell r="P681" t="str"><v>IBMR</v></cell></row><row r="682"><cell r="A682" t="str"><v>SPA.ERR</v></cell><cell r="B682" t="str"><v>Sparganium erectum subsp. erectum      </v></cell></row><row r="682"><cell r="E682" t="str"><v>      </v></cell></row><row r="682"><cell r="M682" t="str"><v>PHe</v></cell><cell r="N682"><v>8</v></cell><cell r="O682" t="str"><v>HYD/HEL</v></cell></row><row r="683"><cell r="A683" t="str"><v>SPA.MIC</v></cell><cell r="B683" t="str"><v>Sparganium erectum subsp. microcarpum      </v></cell></row><row r="683"><cell r="E683" t="str"><v>      </v></cell></row><row r="683"><cell r="M683" t="str"><v>PHe</v></cell><cell r="N683"><v>8</v></cell><cell r="O683" t="str"><v>HYD/HEL</v></cell></row><row r="684"><cell r="A684" t="str"><v>SPA.NEG</v></cell><cell r="B684" t="str"><v>Sparganium erectum subsp. neglectum      </v></cell></row><row r="684"><cell r="E684" t="str"><v>      </v></cell></row><row r="684"><cell r="M684" t="str"><v>PHe</v></cell><cell r="N684"><v>8</v></cell><cell r="O684" t="str"><v>HYD/HEL</v></cell></row><row r="685"><cell r="A685" t="str"><v>SPA.OOC</v></cell><cell r="B685" t="str"><v>Sparganium erectum subsp. oocarpum      </v></cell></row><row r="685"><cell r="E685" t="str"><v>      </v></cell></row><row r="685"><cell r="M685" t="str"><v>PHe</v></cell><cell r="N685"><v>8</v></cell><cell r="O685" t="str"><v>HYD/HEL</v></cell></row><row r="686"><cell r="A686" t="str"><v>STA.PAL</v></cell><cell r="B686" t="str"><v>Stachys palustris</v></cell></row><row r="686"><cell r="E686" t="str"><v>L.      </v></cell></row><row r="686"><cell r="M686" t="str"><v>PHe</v></cell><cell r="N686"><v>8</v></cell><cell r="O686" t="str"><v>HEL</v></cell></row><row r="687"><cell r="A687" t="str"><v>THR.VER</v></cell><cell r="B687" t="str"><v>Thorella verticillatinundata        </v></cell></row><row r="687"><cell r="E687" t="str"><v>      </v></cell></row><row r="687"><cell r="M687" t="str"><v>PHe</v></cell><cell r="N687"><v>8</v></cell><cell r="O687" t="str"><v>HYD/HEL</v></cell></row><row r="688"><cell r="A688" t="str"><v>TYP.ANG</v></cell><cell r="B688" t="str"><v>Typha angustifolia</v></cell><cell r="C688"><v>6</v></cell><cell r="D688"><v>2</v></cell><cell r="E688" t="str"><v>L.      </v></cell></row><row r="688"><cell r="M688" t="str"><v>PHe</v></cell><cell r="N688"><v>8</v></cell><cell r="O688" t="str"><v>HEL</v></cell><cell r="P688" t="str"><v>IBMR</v></cell></row><row r="689"><cell r="A689" t="str"><v>TYP.DOM</v></cell><cell r="B689" t="str"><v>Typha domingensis        </v></cell></row><row r="689"><cell r="E689" t="str"><v>      </v></cell></row><row r="689"><cell r="M689" t="str"><v>PHe</v></cell><cell r="N689"><v>8</v></cell><cell r="O689" t="str"><v>HEL</v></cell></row><row r="690"><cell r="A690" t="str"><v>TYP.LAT</v></cell><cell r="B690" t="str"><v>Typha latifolia</v></cell><cell r="C690"><v>8</v></cell><cell r="D690"><v>1</v></cell><cell r="E690" t="str"><v>L.      </v></cell></row><row r="690"><cell r="M690" t="str"><v>PHe</v></cell><cell r="N690"><v>8</v></cell><cell r="O690" t="str"><v>HEL</v></cell><cell r="P690" t="str"><v>IBMR</v></cell></row><row r="691"><cell r="A691" t="str"><v>TYP.LAX</v></cell><cell r="B691" t="str"><v>Typha laxmannii        </v></cell></row><row r="691"><cell r="E691" t="str"><v>      </v></cell></row><row r="691"><cell r="M691" t="str"><v>PHe</v></cell><cell r="N691"><v>8</v></cell><cell r="O691" t="str"><v>HEL</v></cell></row><row r="692"><cell r="A692" t="str"><v>TYP.MIN</v></cell><cell r="B692" t="str"><v>Typha minima</v></cell></row><row r="692"><cell r="E692" t="str"><v>Funk      </v></cell></row><row r="692"><cell r="M692" t="str"><v>PHe</v></cell><cell r="N692"><v>8</v></cell><cell r="O692" t="str"><v>HEL</v></cell></row><row r="693"><cell r="A693" t="str"><v>TYP.SHU</v></cell><cell r="B693" t="str"><v>Typha shuttleworthii        </v></cell></row><row r="693"><cell r="E693" t="str"><v>      </v></cell></row><row r="693"><cell r="M693" t="str"><v>PHe</v></cell><cell r="N693"><v>8</v></cell><cell r="O693" t="str"><v>HEL</v></cell></row><row r="694"><cell r="A694" t="str"><v>TYP.SPX</v></cell><cell r="B694" t="str"><v>Typha sp.</v></cell></row><row r="694"><cell r="E694" t="str"><v>      </v></cell></row><row r="694"><cell r="M694" t="str"><v>PHe</v></cell><cell r="N694"><v>8</v></cell><cell r="O694" t="str"><v>HEL</v></cell></row><row r="695"><cell r="A695" t="str"><v>VER.ANA</v></cell><cell r="B695" t="str"><v>Veronica anagallis-aquatica</v></cell><cell r="C695"><v>11</v></cell><cell r="D695"><v>2</v></cell><cell r="E695" t="str"><v>L.      </v></cell></row><row r="695"><cell r="M695" t="str"><v>PHe</v></cell><cell r="N695"><v>8</v></cell><cell r="O695" t="str"><v>HYD/HEL</v></cell><cell r="P695" t="str"><v>IBMR</v></cell></row><row r="696"><cell r="A696" t="str"><v>VER.BEC</v></cell><cell r="B696" t="str"><v>Veronica beccabunga</v></cell><cell r="C696"><v>10</v></cell><cell r="D696"><v>1</v></cell><cell r="E696" t="str"><v>L.      </v></cell></row><row r="696"><cell r="M696" t="str"><v>PHe</v></cell><cell r="N696"><v>8</v></cell><cell r="O696" t="str"><v>HEL</v></cell><cell r="P696" t="str"><v>IBMR</v></cell></row><row r="697"><cell r="A697" t="str"><v>VER.CAT</v></cell><cell r="B697" t="str"><v>Veronica catenata</v></cell><cell r="C697"><v>11</v></cell><cell r="D697"><v>2</v></cell><cell r="E697" t="str"><v>Pennel      </v></cell></row><row r="697"><cell r="M697" t="str"><v>PHe</v></cell><cell r="N697"><v>8</v></cell><cell r="O697" t="str"><v>HYD/HEL</v></cell><cell r="P697" t="str"><v>IBMR</v></cell></row><row r="698"><cell r="B698" t="str"><v>- HYGROPHYTES</v></cell></row><row r="698"><cell r="E698" t="str"><v>      </v></cell></row><row r="698"><cell r="M698" t="str"><v>PHg</v></cell><cell r="N698"><v>8.9</v></cell></row><row r="699"><cell r="A699" t="str"><v>ACH.PTA</v></cell><cell r="B699" t="str"><v>Achillea ptarmica        </v></cell></row><row r="699"><cell r="E699" t="str"><v>      </v></cell></row><row r="699"><cell r="M699" t="str"><v>PHg</v></cell><cell r="N699"><v>9</v></cell><cell r="O699" t="str"><v>HYG</v></cell></row><row r="700"><cell r="A700" t="str"><v>AGP.REP</v></cell><cell r="B700" t="str"><v>Agropyrum repens</v></cell></row><row r="700"><cell r="E700" t="str"><v>(L.) Beauv.     </v></cell></row><row r="700"><cell r="M700" t="str"><v>PHg</v></cell><cell r="N700"><v>9</v></cell><cell r="O700" t="str"><v>HYG</v></cell></row><row r="701"><cell r="A701" t="str"><v>AGR.CAN</v></cell><cell r="B701" t="str"><v>Agrostis canina</v></cell></row><row r="701"><cell r="E701" t="str"><v>L.      </v></cell></row><row r="701"><cell r="M701" t="str"><v>PHg</v></cell><cell r="N701"><v>9</v></cell><cell r="O701" t="str"><v>HYG</v></cell></row><row r="702"><cell r="A702" t="str"><v>AGR.SPX</v></cell><cell r="B702" t="str"><v>Agrostis sp.        </v></cell></row><row r="702"><cell r="E702" t="str"><v>      </v></cell></row><row r="702"><cell r="M702" t="str"><v>PHg</v></cell><cell r="N702"><v>9</v></cell><cell r="O702" t="str"><v>HYG/HEL</v></cell></row><row r="703"><cell r="A703" t="str"><v>AGR.VUL</v></cell><cell r="B703" t="str"><v>Agrostis vulgaris</v></cell></row><row r="703"><cell r="E703" t="str"><v>With.      </v></cell></row><row r="703"><cell r="M703" t="str"><v>PHg</v></cell><cell r="N703"><v>9</v></cell><cell r="O703" t="str"><v>HYG</v></cell></row><row r="704"><cell r="A704" t="str"><v>ALO.AEQ</v></cell><cell r="B704" t="str"><v>Alopecurus aequalis</v></cell></row><row r="704"><cell r="E704" t="str"><v>Sobol      </v></cell></row><row r="704"><cell r="M704" t="str"><v>PHg</v></cell><cell r="N704"><v>9</v></cell><cell r="O704" t="str"><v>HYG</v></cell></row><row r="705"><cell r="A705" t="str"><v>ALO.GEN</v></cell><cell r="B705" t="str"><v>Alopecurus geniculatus</v></cell></row><row r="705"><cell r="E705" t="str"><v>Sobolewski      </v></cell></row><row r="705"><cell r="M705" t="str"><v>PHg</v></cell><cell r="N705"><v>9</v></cell><cell r="O705" t="str"><v>HYG</v></cell></row><row r="706"><cell r="A706" t="str"><v>ALO.PRA</v></cell><cell r="B706" t="str"><v>Alopecurus pratensis</v></cell></row><row r="706"><cell r="E706" t="str"><v>L.      </v></cell></row><row r="706"><cell r="M706" t="str"><v>PHg</v></cell><cell r="N706"><v>9</v></cell><cell r="O706" t="str"><v>HYG</v></cell></row><row r="707"><cell r="A707" t="str"><v>ALO.SPX</v></cell><cell r="B707" t="str"><v>Alopecurus sp.</v></cell></row><row r="707"><cell r="E707" t="str"><v>      </v></cell></row><row r="707"><cell r="M707" t="str"><v>PHg</v></cell><cell r="N707"><v>9</v></cell><cell r="O707" t="str"><v>HYG</v></cell></row><row r="708"><cell r="A708" t="str"><v>AMA.SPX</v></cell><cell r="B708" t="str"><v>Amaranthus sp.        </v></cell></row><row r="708"><cell r="E708" t="str"><v>      </v></cell></row><row r="708"><cell r="M708" t="str"><v>PHg</v></cell><cell r="N708"><v>9</v></cell><cell r="O708" t="str"><v>HYG</v></cell></row><row r="709"><cell r="A709" t="str"><v>ANG.ARC</v></cell><cell r="B709" t="str"><v>Angelica archangelica subsp. litoralis</v></cell></row><row r="709"><cell r="E709" t="str"><v>(Fr.) Thell.     </v></cell></row><row r="709"><cell r="M709" t="str"><v>PHg</v></cell><cell r="N709"><v>9</v></cell><cell r="O709" t="str"><v>HYG</v></cell></row><row r="710"><cell r="A710" t="str"><v>ANG.SYL</v></cell><cell r="B710" t="str"><v>Angelica sylvestris</v></cell></row><row r="710"><cell r="E710" t="str"><v>L.      </v></cell></row><row r="710"><cell r="M710" t="str"><v>PHg</v></cell><cell r="N710"><v>9</v></cell><cell r="O710" t="str"><v>HYG</v></cell></row><row r="711"><cell r="A711" t="str"><v>ARU.DON</v></cell><cell r="B711" t="str"><v>Arundo donax        </v></cell></row><row r="711"><cell r="E711" t="str"><v>      </v></cell></row><row r="711"><cell r="M711" t="str"><v>PHg</v></cell><cell r="N711"><v>9</v></cell><cell r="O711" t="str"><v>HYG/HEL</v></cell></row><row r="712"><cell r="A712" t="str"><v>ATI.CAL</v></cell><cell r="B712" t="str"><v>Atriplex calotheca</v></cell></row><row r="712"><cell r="E712" t="str"><v>(Rafn) Fries     </v></cell></row><row r="712"><cell r="M712" t="str"><v>PHg</v></cell><cell r="N712"><v>9</v></cell><cell r="O712" t="str"><v>HYG</v></cell></row><row r="713"><cell r="A713" t="str"><v>BAR.INT</v></cell><cell r="B713" t="str"><v>Barbarea intermedia</v></cell></row><row r="713"><cell r="E713" t="str"><v>Boreau      </v></cell></row><row r="713"><cell r="M713" t="str"><v>PHg</v></cell><cell r="N713"><v>9</v></cell><cell r="O713" t="str"><v>HYG</v></cell></row><row r="714"><cell r="A714" t="str"><v>BAR.VUL</v></cell><cell r="B714" t="str"><v>Barbarea vulgaris</v></cell></row><row r="714"><cell r="E714" t="str"><v>R. Br.     </v></cell></row><row r="714"><cell r="M714" t="str"><v>PHg</v></cell><cell r="N714"><v>9</v></cell><cell r="O714" t="str"><v>HYG</v></cell></row><row r="715"><cell r="A715" t="str"><v>BID.CER</v></cell><cell r="B715" t="str"><v>Bidens cernua</v></cell></row><row r="715"><cell r="E715" t="str"><v>L.      </v></cell></row><row r="715"><cell r="M715" t="str"><v>PHg</v></cell><cell r="N715"><v>9</v></cell><cell r="O715" t="str"><v>HYG</v></cell></row><row r="716"><cell r="A716" t="str"><v>BID.SPX</v></cell><cell r="B716" t="str"><v>Bidens sp.        </v></cell></row><row r="716"><cell r="E716" t="str"><v>      </v></cell></row><row r="716"><cell r="M716" t="str"><v>PHg</v></cell><cell r="N716"><v>9</v></cell><cell r="O716" t="str"><v>HYG</v></cell></row><row r="717"><cell r="A717" t="str"><v>BID.TRI</v></cell><cell r="B717" t="str"><v>Bidens tripartita  </v></cell></row><row r="717"><cell r="E717" t="str"><v>L.      </v></cell></row><row r="717"><cell r="M717" t="str"><v>PHg</v></cell><cell r="N717"><v>9</v></cell><cell r="O717" t="str"><v>HYG</v></cell></row><row r="718"><cell r="A718" t="str"><v>BRO.DIO</v></cell><cell r="B718" t="str"><v>Bryonia dioica</v></cell></row><row r="718"><cell r="E718" t="str"><v>Jacq.      </v></cell></row><row r="718"><cell r="M718" t="str"><v>PHg</v></cell><cell r="N718"><v>9</v></cell><cell r="O718" t="str"><v>HYG</v></cell></row><row r="719"><cell r="A719" t="str"><v>CAY.SEP</v></cell><cell r="B719" t="str"><v>Calystegia sepium</v></cell></row><row r="719"><cell r="E719" t="str"><v>(L.) R. Br.    </v></cell></row><row r="719"><cell r="M719" t="str"><v>PHg</v></cell><cell r="N719"><v>9</v></cell><cell r="O719" t="str"><v>HYG</v></cell></row><row r="720"><cell r="A720" t="str"><v>CAM.AMA</v></cell><cell r="B720" t="str"><v>Cardamine amara</v></cell></row><row r="720"><cell r="E720" t="str"><v>L.      </v></cell></row><row r="720"><cell r="M720" t="str"><v>PHg</v></cell><cell r="N720"><v>9</v></cell><cell r="O720" t="str"><v>HYG/HEL</v></cell></row><row r="721"><cell r="A721" t="str"><v>CAM.HIR</v></cell><cell r="B721" t="str"><v>Cardamine hirsuta</v></cell></row><row r="721"><cell r="E721" t="str"><v>L.      </v></cell></row><row r="721"><cell r="M721" t="str"><v>PHg</v></cell><cell r="N721"><v>9</v></cell><cell r="O721" t="str"><v>HYG</v></cell></row><row r="722"><cell r="A722" t="str"><v>CAM.LAT</v></cell><cell r="B722" t="str"><v>Cardamine latifolia        </v></cell></row><row r="722"><cell r="E722" t="str"><v>      </v></cell></row><row r="722"><cell r="M722" t="str"><v>PHg</v></cell><cell r="N722"><v>9</v></cell><cell r="O722" t="str"><v>HYG/HEL</v></cell></row><row r="723"><cell r="A723" t="str"><v>CAM.PRA</v></cell><cell r="B723" t="str"><v>Cardamine pratensis</v></cell></row><row r="723"><cell r="E723" t="str"><v>L.      </v></cell></row><row r="723"><cell r="M723" t="str"><v>PHg</v></cell><cell r="N723"><v>9</v></cell><cell r="O723" t="str"><v>HYG</v></cell></row><row r="724"><cell r="A724" t="str"><v>CAM.SPX</v></cell><cell r="B724" t="str"><v>Cardamine sp.</v></cell></row><row r="724"><cell r="E724" t="str"><v>      </v></cell></row><row r="724"><cell r="M724" t="str"><v>PHg</v></cell><cell r="N724"><v>9</v></cell><cell r="O724" t="str"><v>HYG/HEL</v></cell></row><row r="725"><cell r="A725" t="str"><v>CAR.DIS</v></cell><cell r="B725" t="str"><v>Carex disticha        </v></cell></row><row r="725"><cell r="E725" t="str"><v>      </v></cell></row><row r="725"><cell r="M725" t="str"><v>PHg</v></cell><cell r="N725"><v>9</v></cell><cell r="O725" t="str"><v>HYG</v></cell></row><row r="726"><cell r="A726" t="str"><v>CAR.HIR</v></cell><cell r="B726" t="str"><v>Carex hirta        </v></cell></row><row r="726"><cell r="E726" t="str"><v>      </v></cell></row><row r="726"><cell r="M726" t="str"><v>PHg</v></cell><cell r="N726"><v>9</v></cell><cell r="O726" t="str"><v>HYG</v></cell></row><row r="727"><cell r="A727" t="str"><v>CAR.LAS</v></cell><cell r="B727" t="str"><v>Carex lasiocarpa        </v></cell></row><row r="727"><cell r="E727" t="str"><v>      </v></cell></row><row r="727"><cell r="M727" t="str"><v>PHg</v></cell><cell r="N727"><v>9</v></cell><cell r="O727" t="str"><v>HYG</v></cell></row><row r="728"><cell r="A728" t="str"><v>CAR.LIM</v></cell><cell r="B728" t="str"><v>Carex limosa        </v></cell></row><row r="728"><cell r="E728" t="str"><v>      </v></cell></row><row r="728"><cell r="M728" t="str"><v>PHg</v></cell><cell r="N728"><v>9</v></cell><cell r="O728" t="str"><v>HYG</v></cell></row><row r="729"><cell r="A729" t="str"><v>CAR.NIG</v></cell><cell r="B729" t="str"><v>Carex nigra</v></cell></row><row r="729"><cell r="E729" t="str"><v>(L.) Reichard     </v></cell></row><row r="729"><cell r="M729" t="str"><v>PHg</v></cell><cell r="N729"><v>9</v></cell><cell r="O729" t="str"><v>HYG/HEL</v></cell></row><row r="730"><cell r="A730" t="str"><v>CAR.SPI</v></cell><cell r="B730" t="str"><v>Carex spicata</v></cell></row><row r="730"><cell r="E730" t="str"><v>Huds.      </v></cell></row><row r="730"><cell r="M730" t="str"><v>PHg</v></cell><cell r="N730"><v>9</v></cell><cell r="O730" t="str"><v>HYG</v></cell></row><row r="731"><cell r="A731" t="str"><v>CHR.ALT</v></cell><cell r="B731" t="str"><v>Chrysosplenium alternifolium</v></cell></row><row r="731"><cell r="E731" t="str"><v>L.      </v></cell></row><row r="731"><cell r="M731" t="str"><v>PHg</v></cell><cell r="N731"><v>9</v></cell><cell r="O731" t="str"><v>HYG</v></cell></row><row r="732"><cell r="A732" t="str"><v>CHR.OPP</v></cell><cell r="B732" t="str"><v>Chrysosplenium oppositifolium</v></cell></row><row r="732"><cell r="E732" t="str"><v>L.      </v></cell></row><row r="732"><cell r="M732" t="str"><v>PHg</v></cell><cell r="N732"><v>9</v></cell><cell r="O732" t="str"><v>HYG</v></cell></row><row r="733"><cell r="A733" t="str"><v>CIS.OLE</v></cell><cell r="B733" t="str"><v>Cirsium oleraceum</v></cell></row><row r="733"><cell r="E733" t="str"><v>(L.) Scop.     </v></cell></row><row r="733"><cell r="M733" t="str"><v>PHg</v></cell><cell r="N733"><v>9</v></cell><cell r="O733" t="str"><v>HYG</v></cell></row><row r="734"><cell r="A734" t="str"><v>CIS.PAL</v></cell><cell r="B734" t="str"><v>Cirsium palustre</v></cell></row><row r="734"><cell r="E734" t="str"><v>(L.) Scop.     </v></cell></row><row r="734"><cell r="M734" t="str"><v>PHg</v></cell><cell r="N734"><v>9</v></cell><cell r="O734" t="str"><v>HYG</v></cell></row><row r="735"><cell r="A735" t="str"><v>COR.LIT</v></cell><cell r="B735" t="str"><v>Corrigiola litoralis        </v></cell></row><row r="735"><cell r="E735" t="str"><v>      </v></cell></row><row r="735"><cell r="M735" t="str"><v>PHg</v></cell><cell r="N735"><v>9</v></cell><cell r="O735" t="str"><v>HYG</v></cell></row><row r="736"><cell r="A736" t="str"><v>CYP.ERA</v></cell><cell r="B736" t="str"><v>Cyperus eragrostis        </v></cell></row><row r="736"><cell r="E736" t="str"><v>      </v></cell></row><row r="736"><cell r="M736" t="str"><v>PHg</v></cell><cell r="N736"><v>9</v></cell><cell r="O736" t="str"><v>HYG</v></cell></row><row r="737"><cell r="A737" t="str"><v>CYP.LON</v></cell><cell r="B737" t="str"><v>Cyperus longus</v></cell></row><row r="737"><cell r="E737" t="str"><v>L.      </v></cell></row><row r="737"><cell r="M737" t="str"><v>PHg</v></cell><cell r="N737"><v>9</v></cell><cell r="O737" t="str"><v>HYG</v></cell></row><row r="738"><cell r="A738" t="str"><v>CYP.SER</v></cell><cell r="B738" t="str"><v>Cyperus serotinus</v></cell></row><row r="738"><cell r="E738" t="str"><v>Rottb.      </v></cell></row><row r="738"><cell r="M738" t="str"><v>PHg</v></cell><cell r="N738"><v>9</v></cell><cell r="O738" t="str"><v>HYG</v></cell></row><row r="739"><cell r="A739" t="str"><v>CYP.SPX</v></cell><cell r="B739" t="str"><v>Cyperus sp.</v></cell></row><row r="739"><cell r="E739" t="str"><v>      </v></cell></row><row r="739"><cell r="M739" t="str"><v>PHg</v></cell><cell r="N739"><v>9</v></cell><cell r="O739" t="str"><v>HYG</v></cell></row><row r="740"><cell r="A740" t="str"><v>DES.CES</v></cell><cell r="B740" t="str"><v>Deschampsia cespitosa</v></cell></row><row r="740"><cell r="E740" t="str"><v>(L.) P. Beauv    </v></cell></row><row r="740"><cell r="M740" t="str"><v>PHg</v></cell><cell r="N740"><v>9</v></cell><cell r="O740" t="str"><v>HYG</v></cell></row><row r="741"><cell r="A741" t="str"><v>ECH.ORY</v></cell><cell r="B741" t="str"><v>Echinocloa oryzoides        </v></cell></row><row r="741"><cell r="E741" t="str"><v>      </v></cell></row><row r="741"><cell r="M741" t="str"><v>PHg</v></cell><cell r="N741"><v>9</v></cell><cell r="O741" t="str"><v>HYG</v></cell></row><row r="742"><cell r="A742" t="str"><v>ELA.ALS</v></cell><cell r="B742" t="str"><v>Elatine alsinastrum</v></cell></row><row r="742"><cell r="E742" t="str"><v>L.      </v></cell></row><row r="742"><cell r="M742" t="str"><v>PHg</v></cell><cell r="N742"><v>9</v></cell><cell r="O742" t="str"><v>HYG</v></cell></row><row r="743"><cell r="A743" t="str"><v>ELA.AMB</v></cell><cell r="B743" t="str"><v>Elatine ambigua        </v></cell></row><row r="743"><cell r="E743" t="str"><v>      </v></cell></row><row r="743"><cell r="M743" t="str"><v>PHg</v></cell><cell r="N743"><v>9</v></cell><cell r="O743" t="str"><v>HYG</v></cell></row><row r="744"><cell r="A744" t="str"><v>ELA.BRO</v></cell><cell r="B744" t="str"><v>Elatine brochonii        </v></cell></row><row r="744"><cell r="E744" t="str"><v>      </v></cell></row><row r="744"><cell r="M744" t="str"><v>PHg</v></cell><cell r="N744"><v>9</v></cell><cell r="O744" t="str"><v>HYG</v></cell></row><row r="745"><cell r="A745" t="str"><v>ELA.HEX</v></cell><cell r="B745" t="str"><v>Elatine hexandra</v></cell></row><row r="745"><cell r="E745" t="str"><v>(Lapierre) DC     </v></cell></row><row r="745"><cell r="M745" t="str"><v>PHg</v></cell><cell r="N745"><v>9</v></cell><cell r="O745" t="str"><v>HYG</v></cell></row><row r="746"><cell r="A746" t="str"><v>ELA.HUN</v></cell><cell r="B746" t="str"><v>Elatine hungarica        </v></cell></row><row r="746"><cell r="E746" t="str"><v>      </v></cell></row><row r="746"><cell r="M746" t="str"><v>PHg</v></cell><cell r="N746"><v>9</v></cell><cell r="O746" t="str"><v>HYG</v></cell></row><row r="747"><cell r="A747" t="str"><v>ELA.HYD</v></cell><cell r="B747" t="str"><v>Elatine hydropiper</v></cell></row><row r="747"><cell r="E747" t="str"><v>L.      </v></cell></row><row r="747"><cell r="M747" t="str"><v>PHg</v></cell><cell r="N747"><v>9</v></cell><cell r="O747" t="str"><v>HYG</v></cell></row><row r="748"><cell r="A748" t="str"><v>ELA.MAC</v></cell><cell r="B748" t="str"><v>Elatine macropoda</v></cell></row><row r="748"><cell r="E748" t="str"><v>Guss.      </v></cell></row><row r="748"><cell r="M748" t="str"><v>PHg</v></cell><cell r="N748"><v>9</v></cell><cell r="O748" t="str"><v>HYG</v></cell></row><row r="749"><cell r="A749" t="str"><v>ELA.ORT</v></cell><cell r="B749" t="str"><v>Elatine orthosperma        </v></cell></row><row r="749"><cell r="E749" t="str"><v>      </v></cell></row><row r="749"><cell r="M749" t="str"><v>PHg</v></cell><cell r="N749"><v>9</v></cell><cell r="O749" t="str"><v>HYG</v></cell></row><row r="750"><cell r="A750" t="str"><v>ELA.SPX</v></cell><cell r="B750" t="str"><v>Elatine sp.</v></cell></row><row r="750"><cell r="E750" t="str"><v>      </v></cell></row><row r="750"><cell r="M750" t="str"><v>PHg</v></cell><cell r="N750"><v>9</v></cell><cell r="O750" t="str"><v>HYG</v></cell></row><row r="751"><cell r="A751" t="str"><v>ELA.TRI</v></cell><cell r="B751" t="str"><v>Elatine triandra</v></cell></row><row r="751"><cell r="E751" t="str"><v>Schkuhr      </v></cell></row><row r="751"><cell r="M751" t="str"><v>PHg</v></cell><cell r="N751"><v>9</v></cell><cell r="O751" t="str"><v>HYG</v></cell></row><row r="752"><cell r="A752" t="str"><v>ELE.OVA</v></cell><cell r="B752" t="str"><v>Eleocharis ovata</v></cell></row><row r="752"><cell r="E752" t="str"><v>(Roth) Roem. & Schult.   </v></cell></row><row r="752"><cell r="M752" t="str"><v>PHg</v></cell><cell r="N752"><v>9</v></cell><cell r="O752" t="str"><v>HYG/HEL</v></cell></row><row r="753"><cell r="A753" t="str"><v>ELE.PAR</v></cell><cell r="B753" t="str"><v>Eleocharis parvula        </v></cell></row><row r="753"><cell r="E753" t="str"><v>      </v></cell></row><row r="753"><cell r="M753" t="str"><v>PHg</v></cell><cell r="N753"><v>9</v></cell><cell r="O753" t="str"><v>HYG/HEL</v></cell></row><row r="754"><cell r="A754" t="str"><v>ELE.UNI</v></cell><cell r="B754" t="str"><v>Eleocharis uniglumis</v></cell></row><row r="754"><cell r="E754" t="str"><v>(Link) Schultes     </v></cell></row><row r="754"><cell r="M754" t="str"><v>PHg</v></cell><cell r="N754"><v>9</v></cell><cell r="O754" t="str"><v>HYG</v></cell></row><row r="755"><cell r="A755" t="str"><v>EPI.CIL</v></cell><cell r="B755" t="str"><v>Epilobium ciliatum</v></cell></row><row r="755"><cell r="E755" t="str"><v>Rafin.      </v></cell></row><row r="755"><cell r="M755" t="str"><v>PHg</v></cell><cell r="N755"><v>9</v></cell><cell r="O755" t="str"><v>HYG</v></cell></row><row r="756"><cell r="A756" t="str"><v>EPI.HIR</v></cell><cell r="B756" t="str"><v>Epilobium hirsutum</v></cell></row><row r="756"><cell r="E756" t="str"><v>L.      </v></cell></row><row r="756"><cell r="M756" t="str"><v>PHg</v></cell><cell r="N756"><v>9</v></cell><cell r="O756" t="str"><v>HYG</v></cell></row><row r="757"><cell r="A757" t="str"><v>EPI.LAN</v></cell><cell r="B757" t="str"><v>Epilobium lanceolatum</v></cell></row><row r="757"><cell r="E757" t="str"><v>Sebast. & Mauri    </v></cell></row><row r="757"><cell r="M757" t="str"><v>PHg</v></cell><cell r="N757"><v>9</v></cell><cell r="O757" t="str"><v>HYG</v></cell></row><row r="758"><cell r="A758" t="str"><v>EPI.PAL</v></cell><cell r="B758" t="str"><v>Epilobium palustre</v></cell></row><row r="758"><cell r="E758" t="str"><v>L.      </v></cell></row><row r="758"><cell r="M758" t="str"><v>PHg</v></cell><cell r="N758"><v>9</v></cell><cell r="O758" t="str"><v>HYG</v></cell></row><row r="759"><cell r="A759" t="str"><v>EPI.PAR</v></cell><cell r="B759" t="str"><v>Epilobium parviflorum</v></cell></row><row r="759"><cell r="E759" t="str"><v>Schreb.      </v></cell></row><row r="759"><cell r="M759" t="str"><v>PHg</v></cell><cell r="N759"><v>9</v></cell><cell r="O759" t="str"><v>HYG</v></cell></row><row r="760"><cell r="A760" t="str"><v>EPI.ROS</v></cell><cell r="B760" t="str"><v>Epilobium roseum</v></cell></row><row r="760"><cell r="E760" t="str"><v>Schreb.      </v></cell></row><row r="760"><cell r="M760" t="str"><v>PHg</v></cell><cell r="N760"><v>9</v></cell><cell r="O760" t="str"><v>HYG</v></cell></row><row r="761"><cell r="A761" t="str"><v>EPI.TET</v></cell><cell r="B761" t="str"><v>Epilobium tetragonum</v></cell></row><row r="761"><cell r="E761" t="str"><v>L.      </v></cell></row><row r="761"><cell r="M761" t="str"><v>PHg</v></cell><cell r="N761"><v>9</v></cell><cell r="O761" t="str"><v>HYG</v></cell></row><row r="762"><cell r="A762" t="str"><v>ERI.ANG</v></cell><cell r="B762" t="str"><v>Eriophorum angustifolium       </v></cell></row><row r="762"><cell r="E762" t="str"><v>Honckeny      </v></cell></row><row r="762"><cell r="M762" t="str"><v>PHg</v></cell><cell r="N762"><v>9</v></cell><cell r="O762" t="str"><v>HYG/HEL</v></cell></row><row r="763"><cell r="A763" t="str"><v>FAL.DUM</v></cell><cell r="B763" t="str"><v>Fallopia dumetorum        </v></cell></row><row r="763"><cell r="E763" t="str"><v>      </v></cell></row><row r="763"><cell r="M763" t="str"><v>PHg</v></cell><cell r="N763"><v>9</v></cell><cell r="O763" t="str"><v>HYG</v></cell></row><row r="764"><cell r="A764" t="str"><v>FIL.ULM</v></cell><cell r="B764" t="str"><v>Filipendula ulmaria</v></cell></row><row r="764"><cell r="E764" t="str"><v>(L.) Maxim.     </v></cell></row><row r="764"><cell r="M764" t="str"><v>PHg</v></cell><cell r="N764"><v>9</v></cell><cell r="O764" t="str"><v>HYG</v></cell></row><row r="765"><cell r="A765" t="str"><v>GAL.NEG</v></cell><cell r="B765" t="str"><v>Galium neglectum        </v></cell></row><row r="765"><cell r="E765" t="str"><v>      </v></cell></row><row r="765"><cell r="M765" t="str"><v>PHg</v></cell><cell r="N765"><v>9</v></cell><cell r="O765" t="str"><v>HYG</v></cell></row><row r="766"><cell r="A766" t="str"><v>GAL.PAL</v></cell><cell r="B766" t="str"><v>Galium palustre</v></cell></row><row r="766"><cell r="E766" t="str"><v>L.      </v></cell></row><row r="766"><cell r="M766" t="str"><v>PHg</v></cell><cell r="N766"><v>9</v></cell><cell r="O766" t="str"><v>HYG/HEL</v></cell></row><row r="767"><cell r="A767" t="str"><v>GAL.SPX</v></cell><cell r="B767" t="str"><v>Galium sp.</v></cell></row><row r="767"><cell r="E767" t="str"><v>      </v></cell></row><row r="767"><cell r="M767" t="str"><v>PHg</v></cell><cell r="N767"><v>9</v></cell><cell r="O767" t="str"><v>HYG/HEL</v></cell></row><row r="768"><cell r="A768" t="str"><v>GAL.TRI</v></cell><cell r="B768" t="str"><v>Galium trifidum        </v></cell></row><row r="768"><cell r="E768" t="str"><v>      </v></cell></row><row r="768"><cell r="M768" t="str"><v>PHg</v></cell><cell r="N768"><v>9</v></cell><cell r="O768" t="str"><v>HYG</v></cell></row><row r="769"><cell r="A769" t="str"><v>GAL.ULI</v></cell><cell r="B769" t="str"><v>Galium uliginosum</v></cell></row><row r="769"><cell r="E769" t="str"><v>L.      </v></cell></row><row r="769"><cell r="M769" t="str"><v>PHg</v></cell><cell r="N769"><v>9</v></cell><cell r="O769" t="str"><v>HYG</v></cell></row><row r="770"><cell r="A770" t="str"><v>GLE.HED</v></cell><cell r="B770" t="str"><v>Glechoma hederacea</v></cell></row><row r="770"><cell r="E770" t="str"><v>L.      </v></cell></row><row r="770"><cell r="M770" t="str"><v>PHg</v></cell><cell r="N770"><v>9</v></cell><cell r="O770" t="str"><v>HYG</v></cell></row><row r="771"><cell r="A771" t="str"><v>GNA.ULI</v></cell><cell r="B771" t="str"><v>Gnaphalium uliginosum</v></cell></row><row r="771"><cell r="E771" t="str"><v>L.      </v></cell></row><row r="771"><cell r="M771" t="str"><v>PHg</v></cell><cell r="N771"><v>9</v></cell><cell r="O771" t="str"><v>HYG</v></cell></row><row r="772"><cell r="A772" t="str"><v>GRA.OFF</v></cell><cell r="B772" t="str"><v>Gratiola officinalis        </v></cell></row><row r="772"><cell r="E772" t="str"><v>      </v></cell></row><row r="772"><cell r="M772" t="str"><v>PHg</v></cell><cell r="N772"><v>9</v></cell><cell r="O772" t="str"><v>HYG</v></cell></row><row r="773"><cell r="A773" t="str"><v>HOL.LAN</v></cell><cell r="B773" t="str"><v>Holcus lanatus</v></cell></row><row r="773"><cell r="E773" t="str"><v>L.      </v></cell></row><row r="773"><cell r="M773" t="str"><v>PHg</v></cell><cell r="N773"><v>9</v></cell><cell r="O773" t="str"><v>HYG</v></cell></row><row r="774"><cell r="A774" t="str"><v>HUM.LUP</v></cell><cell r="B774" t="str"><v>Humulus lupulus</v></cell></row><row r="774"><cell r="E774" t="str"><v>L.      </v></cell></row><row r="774"><cell r="M774" t="str"><v>PHg</v></cell><cell r="N774"><v>9</v></cell><cell r="O774" t="str"><v>HYG</v></cell></row><row r="775"><cell r="A775" t="str"><v>HYP.MAC</v></cell><cell r="B775" t="str"><v>Hypericum maculatum</v></cell></row><row r="775"><cell r="E775" t="str"><v>Crantz.      </v></cell></row><row r="775"><cell r="M775" t="str"><v>PHg</v></cell><cell r="N775"><v>9</v></cell><cell r="O775" t="str"><v>HYG</v></cell></row><row r="776"><cell r="A776" t="str"><v>IMP.GLA</v></cell><cell r="B776" t="str"><v>Impatiens glandulifera</v></cell></row><row r="776"><cell r="E776" t="str"><v>Royle      </v></cell></row><row r="776"><cell r="M776" t="str"><v>PHg</v></cell><cell r="N776"><v>9</v></cell><cell r="O776" t="str"><v>HYG</v></cell></row><row r="777"><cell r="A777" t="str"><v>IMP.NOL</v></cell><cell r="B777" t="str"><v>Impatiens noli-tangere</v></cell></row><row r="777"><cell r="E777" t="str"><v>L.      </v></cell></row><row r="777"><cell r="M777" t="str"><v>PHg</v></cell><cell r="N777"><v>9</v></cell><cell r="O777" t="str"><v>HYG</v></cell></row><row r="778"><cell r="A778" t="str"><v>JUN.ACU</v></cell><cell r="B778" t="str"><v>Juncus acutiflorus</v></cell></row><row r="778"><cell r="E778" t="str"><v>Ehrh. Ex Hoffm    </v></cell></row><row r="778"><cell r="M778" t="str"><v>PHg</v></cell><cell r="N778"><v>9</v></cell><cell r="O778" t="str"><v>HYG</v></cell></row><row r="779"><cell r="A779" t="str"><v>JUN.ALP</v></cell><cell r="B779" t="str"><v>Juncus alpinoarticulatus</v></cell></row><row r="779"><cell r="E779" t="str"><v>Chaix      </v></cell></row><row r="779"><cell r="M779" t="str"><v>PHg</v></cell><cell r="N779"><v>9</v></cell><cell r="O779" t="str"><v>HYG</v></cell></row><row r="780"><cell r="A780" t="str"><v>JUN.AMB</v></cell><cell r="B780" t="str"><v>Juncus ambiguus        </v></cell></row><row r="780"><cell r="E780" t="str"><v>      </v></cell></row><row r="780"><cell r="M780" t="str"><v>PHg</v></cell><cell r="N780"><v>9</v></cell><cell r="O780" t="str"><v>HYG</v></cell></row><row r="781"><cell r="A781" t="str"><v>JUN.ART</v></cell><cell r="B781" t="str"><v>Juncus articulatus</v></cell></row><row r="781"><cell r="E781" t="str"><v>L.      </v></cell></row><row r="781"><cell r="M781" t="str"><v>PHg</v></cell><cell r="N781"><v>9</v></cell><cell r="O781" t="str"><v>HYG</v></cell></row><row r="782"><cell r="A782" t="str"><v>JUN.BUF</v></cell><cell r="B782" t="str"><v>Juncus bufonius</v></cell></row><row r="782"><cell r="E782" t="str"><v>L.      </v></cell></row><row r="782"><cell r="M782" t="str"><v>PHg</v></cell><cell r="N782"><v>9</v></cell><cell r="O782" t="str"><v>HYG</v></cell></row><row r="783"><cell r="A783" t="str"><v>JUN.HET</v></cell><cell r="B783" t="str"><v>Juncus heterophyllus</v></cell></row><row r="783"><cell r="E783" t="str"><v>Dufour      </v></cell></row><row r="783"><cell r="M783" t="str"><v>PHg</v></cell><cell r="N783"><v>9</v></cell><cell r="O783" t="str"><v>HYG/HEL</v></cell></row><row r="784"><cell r="A784" t="str"><v>LAM.ALB</v></cell><cell r="B784" t="str"><v>Lamium album</v></cell></row><row r="784"><cell r="E784" t="str"><v>L.      </v></cell></row><row r="784"><cell r="M784" t="str"><v>PHg</v></cell><cell r="N784"><v>9</v></cell><cell r="O784" t="str"><v>HYG</v></cell></row><row r="785"><cell r="A785" t="str"><v>LAM.MAC</v></cell><cell r="B785" t="str"><v>Lamium maculatum</v></cell></row><row r="785"><cell r="E785" t="str"><v>L.      </v></cell></row><row r="785"><cell r="M785" t="str"><v>PHg</v></cell><cell r="N785"><v>9</v></cell><cell r="O785" t="str"><v>HYG</v></cell></row><row r="786"><cell r="A786" t="str"><v>LEE.ORY</v></cell><cell r="B786" t="str"><v>Leersia oryzoïdes</v></cell></row><row r="786"><cell r="E786" t="str"><v>(L.) Schwartz     </v></cell></row><row r="786"><cell r="M786" t="str"><v>PHg</v></cell><cell r="N786"><v>9</v></cell><cell r="O786" t="str"><v>HYG</v></cell></row><row r="787"><cell r="A787" t="str"><v>LIM.AQU</v></cell><cell r="B787" t="str"><v>Limosella aquatica        </v></cell></row><row r="787"><cell r="E787" t="str"><v>      </v></cell></row><row r="787"><cell r="M787" t="str"><v>PHg</v></cell><cell r="N787"><v>9</v></cell><cell r="O787" t="str"><v>HYG/HEL</v></cell></row><row r="788"><cell r="A788" t="str"><v>LIM.AUS</v></cell><cell r="B788" t="str"><v>Limosella australis        </v></cell></row><row r="788"><cell r="E788" t="str"><v>      </v></cell></row><row r="788"><cell r="M788" t="str"><v>PHg</v></cell><cell r="N788"><v>9</v></cell><cell r="O788" t="str"><v>HYG/HEL</v></cell></row><row r="789"><cell r="A789" t="str"><v>LIN.DUB</v></cell><cell r="B789" t="str"><v>Lindernia dubia        </v></cell></row><row r="789"><cell r="E789" t="str"><v>      </v></cell></row><row r="789"><cell r="M789" t="str"><v>PHg</v></cell><cell r="N789"><v>9</v></cell><cell r="O789" t="str"><v>HYG/HEL</v></cell></row><row r="790"><cell r="A790" t="str"><v>LIN.PRO</v></cell><cell r="B790" t="str"><v>Lindernia procumbens        </v></cell></row><row r="790"><cell r="E790" t="str"><v>      </v></cell></row><row r="790"><cell r="M790" t="str"><v>PHg</v></cell><cell r="N790"><v>9</v></cell><cell r="O790" t="str"><v>HYG/HEL</v></cell></row><row r="791"><cell r="A791" t="str"><v>LOT.PED</v></cell><cell r="B791" t="str"><v>Lotus pedunculatus (Lotus uliginosus)</v></cell></row><row r="791"><cell r="E791" t="str"><v>      </v></cell><cell r="F791" t="str"><v>Lotus uliginosus Schkuhr</v></cell></row><row r="791"><cell r="M791" t="str"><v>PHg</v></cell><cell r="N791"><v>9</v></cell><cell r="O791" t="str"><v>HYG</v></cell></row><row r="792"><cell r="A792" t="str"><v>LYO.ESC</v></cell><cell r="B792" t="str"><v>Lycopersicon esculentum        </v></cell></row><row r="792"><cell r="E792" t="str"><v>      </v></cell></row><row r="792"><cell r="M792" t="str"><v>PHg</v></cell><cell r="N792"><v>9</v></cell><cell r="O792" t="str"><v>HYG</v></cell></row><row r="793"><cell r="A793" t="str"><v>MIM.GUT</v></cell><cell r="B793" t="str"><v>Mimulus guttatus</v></cell></row><row r="793"><cell r="E793" t="str"><v>DC      </v></cell></row><row r="793"><cell r="M793" t="str"><v>PHg</v></cell><cell r="N793"><v>9</v></cell><cell r="O793" t="str"><v>HYG</v></cell></row><row r="794"><cell r="A794" t="str"><v>MOL.CAE</v></cell><cell r="B794" t="str"><v>Molinia caerulea</v></cell></row><row r="794"><cell r="E794" t="str"><v>(L.) Moench     </v></cell></row><row r="794"><cell r="M794" t="str"><v>PHg</v></cell><cell r="N794"><v>9</v></cell><cell r="O794" t="str"><v>HYG</v></cell></row><row r="795"><cell r="A795" t="str"><v>MYS.AQU</v></cell><cell r="B795" t="str"><v>Myosoton aquaticum</v></cell></row><row r="795"><cell r="E795" t="str"><v>(L.) Moench     </v></cell></row><row r="795"><cell r="M795" t="str"><v>PHg</v></cell><cell r="N795"><v>9</v></cell><cell r="O795" t="str"><v>HYG</v></cell></row><row r="796"><cell r="A796" t="str"><v>ORY.SAT</v></cell><cell r="B796" t="str"><v>Oryza sativa        </v></cell></row><row r="796"><cell r="E796" t="str"><v>      </v></cell></row><row r="796"><cell r="M796" t="str"><v>PHg</v></cell><cell r="N796"><v>9</v></cell><cell r="O796" t="str"><v>HYG</v></cell></row><row r="797"><cell r="A797" t="str"><v>PAS.DIL</v></cell><cell r="B797" t="str"><v>Paspalum dilatatum        </v></cell></row><row r="797"><cell r="E797" t="str"><v>      </v></cell></row><row r="797"><cell r="M797" t="str"><v>PHg</v></cell><cell r="N797"><v>9</v></cell><cell r="O797" t="str"><v>HYG</v></cell></row><row r="798"><cell r="A798" t="str"><v>PAS.PAS</v></cell><cell r="B798" t="str"><v>Paspalum paspaloides        </v></cell></row><row r="798"><cell r="E798" t="str"><v>      </v></cell></row><row r="798"><cell r="M798" t="str"><v>PHg</v></cell><cell r="N798"><v>9</v></cell><cell r="O798" t="str"><v>HYG</v></cell></row><row r="799"><cell r="A799" t="str"><v>PAS.URV</v></cell><cell r="B799" t="str"><v>Paspalum urvillei        </v></cell></row><row r="799"><cell r="E799" t="str"><v>      </v></cell></row><row r="799"><cell r="M799" t="str"><v>PHg</v></cell><cell r="N799"><v>9</v></cell><cell r="O799" t="str"><v>HYG</v></cell></row><row r="800"><cell r="A800" t="str"><v>PAS.VAG</v></cell><cell r="B800" t="str"><v>Paspalum vaginatum        </v></cell></row><row r="800"><cell r="E800" t="str"><v>      </v></cell></row><row r="800"><cell r="M800" t="str"><v>PHg</v></cell><cell r="N800"><v>9</v></cell><cell r="O800" t="str"><v>HYG</v></cell></row><row r="801"><cell r="A801" t="str"><v>PET.HYB</v></cell><cell r="B801" t="str"><v>Petasites hybridus</v></cell></row><row r="801"><cell r="E801" t="str"><v>(L.) Gaertn.,Mey. & Scherb.   </v></cell></row><row r="801"><cell r="M801" t="str"><v>PHg</v></cell><cell r="N801"><v>9</v></cell><cell r="O801" t="str"><v>HYG</v></cell></row><row r="802"><cell r="A802" t="str"><v>PEU.PAL</v></cell><cell r="B802" t="str"><v>Peucedanum palustre</v></cell></row><row r="802"><cell r="E802" t="str"><v>(L.) Moench     </v></cell></row><row r="802"><cell r="M802" t="str"><v>PHg</v></cell><cell r="N802"><v>9</v></cell><cell r="O802" t="str"><v>HYG/HEL</v></cell></row><row r="803"><cell r="A803" t="str"><v>POA.ANN</v></cell><cell r="B803" t="str"><v>Poa annua</v></cell></row><row r="803"><cell r="E803" t="str"><v>L.      </v></cell></row><row r="803"><cell r="M803" t="str"><v>PHg</v></cell><cell r="N803"><v>9</v></cell><cell r="O803" t="str"><v>HYG</v></cell></row><row r="804"><cell r="A804" t="str"><v>POA.PAL</v></cell><cell r="B804" t="str"><v>Poa palustris</v></cell></row><row r="804"><cell r="E804" t="str"><v>L.      </v></cell></row><row r="804"><cell r="M804" t="str"><v>PHg</v></cell><cell r="N804"><v>9</v></cell><cell r="O804" t="str"><v>HYG</v></cell></row><row r="805"><cell r="A805" t="str"><v>POA.PRA</v></cell><cell r="B805" t="str"><v>Poa pratensis</v></cell></row><row r="805"><cell r="E805" t="str"><v>L.      </v></cell></row><row r="805"><cell r="M805" t="str"><v>PHg</v></cell><cell r="N805"><v>9</v></cell><cell r="O805" t="str"><v>HYG</v></cell></row><row r="806"><cell r="A806" t="str"><v>POA.SPX</v></cell><cell r="B806" t="str"><v>Poa sp.</v></cell></row><row r="806"><cell r="E806" t="str"><v>      </v></cell></row><row r="806"><cell r="M806" t="str"><v>PHg</v></cell><cell r="N806"><v>9</v></cell><cell r="O806" t="str"><v>HYG</v></cell></row><row r="807"><cell r="A807" t="str"><v>POA.TRI</v></cell><cell r="B807" t="str"><v>Poa trivialis</v></cell></row><row r="807"><cell r="E807" t="str"><v>L.      </v></cell></row><row r="807"><cell r="M807" t="str"><v>PHg</v></cell><cell r="N807"><v>9</v></cell><cell r="O807" t="str"><v>HYG</v></cell></row><row r="808"><cell r="A808" t="str"><v>POL.FOL</v></cell><cell r="B808" t="str"><v>Polygonum foliosa (Persicaria foliosa)</v></cell></row><row r="808"><cell r="E808" t="str"><v>      </v></cell><cell r="F808" t="str"><v>Persicaria foliosa</v></cell></row><row r="808"><cell r="M808" t="str"><v>PHg</v></cell><cell r="N808"><v>9</v></cell><cell r="O808" t="str"><v>HYG</v></cell></row><row r="809"><cell r="A809" t="str"><v>POL.LAP</v></cell><cell r="B809" t="str"><v>Polygonum lapathifolia (Persicaria lapathifolia)</v></cell></row><row r="809"><cell r="E809" t="str"><v>      </v></cell><cell r="F809" t="str"><v>Persicaria lapathifolia L. Gray</v></cell></row><row r="809"><cell r="M809" t="str"><v>PHg</v></cell><cell r="N809"><v>9</v></cell><cell r="O809" t="str"><v>HYG</v></cell></row><row r="810"><cell r="A810" t="str"><v>POL.MAC</v></cell><cell r="B810" t="str"><v>Polygonum maculosa (Persicaria maculosa)</v></cell></row><row r="810"><cell r="E810" t="str"><v>      </v></cell><cell r="F810" t="str"><v>Persicaria maculosa</v></cell></row><row r="810"><cell r="M810" t="str"><v>PHg</v></cell><cell r="N810"><v>9</v></cell><cell r="O810" t="str"><v>HYG</v></cell></row><row r="811"><cell r="A811" t="str"><v>POL.MIT</v></cell><cell r="B811" t="str"><v>Polygonum mite (Persicaria mitis)</v></cell></row><row r="811"><cell r="E811" t="str"><v>Schrank      </v></cell><cell r="F811" t="str"><v>Persicaria mitis Schrank</v></cell></row><row r="811"><cell r="M811" t="str"><v>PHg</v></cell><cell r="N811"><v>9</v></cell><cell r="O811" t="str"><v>HYG</v></cell></row><row r="812"><cell r="A812" t="str"><v>POL.SPX</v></cell><cell r="B812" t="str"><v>Polygonum sp.</v></cell></row><row r="812"><cell r="E812" t="str"><v>      </v></cell><cell r="F812" t="str"><v>Persicaria sp.</v></cell></row><row r="812"><cell r="M812" t="str"><v>PHg</v></cell><cell r="N812"><v>9</v></cell><cell r="O812" t="str"><v>HYG</v></cell></row><row r="813"><cell r="A813" t="str"><v>POE.ANS</v></cell><cell r="B813" t="str"><v>Potentiella anserina        </v></cell></row><row r="813"><cell r="E813" t="str"><v>(L.)      </v></cell></row><row r="813"><cell r="M813" t="str"><v>PHg</v></cell><cell r="N813"><v>9</v></cell><cell r="O813" t="str"><v>HYG</v></cell></row><row r="814"><cell r="A814" t="str"><v>POE.ERE</v></cell><cell r="B814" t="str"><v>Potentilla erecta</v></cell></row><row r="814"><cell r="E814" t="str"><v>(L.) Räuschel     </v></cell></row><row r="814"><cell r="M814" t="str"><v>PHg</v></cell><cell r="N814"><v>9</v></cell><cell r="O814" t="str"><v>HYG</v></cell></row><row r="815"><cell r="A815" t="str"><v>PUL.DYS</v></cell><cell r="B815" t="str"><v>Pulicaria dysenterica</v></cell></row><row r="815"><cell r="E815" t="str"><v>(L.) Bernh.     </v></cell></row><row r="815"><cell r="M815" t="str"><v>PHg</v></cell><cell r="N815"><v>9</v></cell><cell r="O815" t="str"><v>HYG</v></cell></row><row r="816"><cell r="A816" t="str"><v>RAN.REP</v></cell><cell r="B816" t="str"><v>Ranunculus repens</v></cell></row><row r="816"><cell r="E816" t="str"><v>L.      </v></cell></row><row r="816"><cell r="M816" t="str"><v>PHg</v></cell><cell r="N816"><v>9</v></cell><cell r="O816" t="str"><v>HYG</v></cell></row><row r="817"><cell r="A817" t="str"><v>RAN.RET</v></cell><cell r="B817" t="str"><v>Ranunculus reptans        </v></cell></row><row r="817"><cell r="E817" t="str"><v>      </v></cell></row><row r="817"><cell r="M817" t="str"><v>PHg</v></cell><cell r="N817"><v>9</v></cell><cell r="O817" t="str"><v>HYG</v></cell></row><row r="818"><cell r="A818" t="str"><v>RAN.SAR</v></cell><cell r="B818" t="str"><v>Ranunculus sardous</v></cell></row><row r="818"><cell r="E818" t="str"><v>Crantz      </v></cell></row><row r="818"><cell r="M818" t="str"><v>PHg</v></cell><cell r="N818"><v>9</v></cell><cell r="O818" t="str"><v>HYG</v></cell></row><row r="819"><cell r="A819" t="str"><v>RAN.SCE</v></cell><cell r="B819" t="str"><v>Ranunculus sceleratus</v></cell></row><row r="819"><cell r="E819" t="str"><v>L.      </v></cell></row><row r="819"><cell r="M819" t="str"><v>PHg</v></cell><cell r="N819"><v>9</v></cell><cell r="O819" t="str"><v>HYG</v></cell></row><row r="820"><cell r="A820" t="str"><v>RHN.RUG</v></cell><cell r="B820" t="str"><v>Rhynchospora rugosa        </v></cell></row><row r="820"><cell r="E820" t="str"><v>      </v></cell></row><row r="820"><cell r="M820" t="str"><v>PHg</v></cell><cell r="N820"><v>9</v></cell><cell r="O820" t="str"><v>HYG</v></cell></row><row r="821"><cell r="A821" t="str"><v>ROR.ISL</v></cell><cell r="B821" t="str"><v>Rorippa islandica</v></cell></row><row r="821"><cell r="E821" t="str"><v>(Oeder) Borbas     </v></cell></row><row r="821"><cell r="M821" t="str"><v>PHg</v></cell><cell r="N821"><v>9</v></cell><cell r="O821" t="str"><v>HYG</v></cell></row><row r="822"><cell r="A822" t="str"><v>RUM.AQU</v></cell><cell r="B822" t="str"><v>Rumex aquaticus</v></cell></row><row r="822"><cell r="E822" t="str"><v>L.      </v></cell></row><row r="822"><cell r="M822" t="str"><v>PHg</v></cell><cell r="N822"><v>9</v></cell><cell r="O822" t="str"><v>HYG</v></cell></row><row r="823"><cell r="A823" t="str"><v>RUM.CON</v></cell><cell r="B823" t="str"><v>Rumex conglomeratus</v></cell></row><row r="823"><cell r="E823" t="str"><v>Murray      </v></cell></row><row r="823"><cell r="M823" t="str"><v>PHg</v></cell><cell r="N823"><v>9</v></cell><cell r="O823" t="str"><v>HYG</v></cell></row><row r="824"><cell r="A824" t="str"><v>RUM.CRI</v></cell><cell r="B824" t="str"><v>Rumex crispus</v></cell></row><row r="824"><cell r="E824" t="str"><v>L.      </v></cell></row><row r="824"><cell r="M824" t="str"><v>PHg</v></cell><cell r="N824"><v>9</v></cell><cell r="O824" t="str"><v>HYG</v></cell></row><row r="825"><cell r="A825" t="str"><v>RUM.OBT</v></cell><cell r="B825" t="str"><v>Rumex obtusifolius</v></cell></row><row r="825"><cell r="E825" t="str"><v>L.      </v></cell></row><row r="825"><cell r="M825" t="str"><v>PHg</v></cell><cell r="N825"><v>9</v></cell><cell r="O825" t="str"><v>HYG</v></cell></row><row r="826"><cell r="A826" t="str"><v>RUM.SPX</v></cell><cell r="B826" t="str"><v>Rumex sp.</v></cell></row><row r="826"><cell r="E826" t="str"><v>      </v></cell></row><row r="826"><cell r="M826" t="str"><v>PHg</v></cell><cell r="N826"><v>9</v></cell><cell r="O826" t="str"><v>HYG</v></cell></row><row r="827"><cell r="A827" t="str"><v>SCE.PAL</v></cell><cell r="B827" t="str"><v>Scheuchzeria palustris        </v></cell></row><row r="827"><cell r="E827" t="str"><v>      </v></cell></row><row r="827"><cell r="M827" t="str"><v>PHg</v></cell><cell r="N827"><v>9</v></cell><cell r="O827" t="str"><v>HYG</v></cell></row><row r="828"><cell r="A828" t="str"><v>SCR.AUR</v></cell><cell r="B828" t="str"><v>Scrophularia auriculata</v></cell></row><row r="828"><cell r="E828" t="str"><v>L.      </v></cell></row><row r="828"><cell r="M828" t="str"><v>PHg</v></cell><cell r="N828"><v>9</v></cell><cell r="O828" t="str"><v>HYG/HEL</v></cell></row><row r="829"><cell r="A829" t="str"><v>SCR.NOD</v></cell><cell r="B829" t="str"><v>Scrophularia nodosa</v></cell></row><row r="829"><cell r="E829" t="str"><v>L.      </v></cell></row><row r="829"><cell r="M829" t="str"><v>PHg</v></cell><cell r="N829"><v>9</v></cell><cell r="O829" t="str"><v>HYG/HEL</v></cell></row><row r="830"><cell r="A830" t="str"><v>SCR.SPX</v></cell><cell r="B830" t="str"><v>Scrophularia sp.</v></cell></row><row r="830"><cell r="E830" t="str"><v>      </v></cell></row><row r="830"><cell r="M830" t="str"><v>PHg</v></cell><cell r="N830"><v>9</v></cell><cell r="O830" t="str"><v>HYG/HEL</v></cell></row><row r="831"><cell r="A831" t="str"><v>SCR.UMB</v></cell><cell r="B831" t="str"><v>Scrophularia umbrosa</v></cell></row><row r="831"><cell r="E831" t="str"><v>Dum.      </v></cell></row><row r="831"><cell r="M831" t="str"><v>PHg</v></cell><cell r="N831"><v>9</v></cell><cell r="O831" t="str"><v>HYG/HEL</v></cell></row><row r="832"><cell r="A832" t="str"><v>SCU.GAL</v></cell><cell r="B832" t="str"><v>Scutellaria galericulata</v></cell></row><row r="832"><cell r="E832" t="str"><v>L.      </v></cell></row><row r="832"><cell r="M832" t="str"><v>PHg</v></cell><cell r="N832"><v>9</v></cell><cell r="O832" t="str"><v>HYG/HEL</v></cell></row><row r="833"><cell r="A833" t="str"><v>SEN.AQU</v></cell><cell r="B833" t="str"><v>Senecio aquaticus</v></cell></row><row r="833"><cell r="E833" t="str"><v>Hill.      </v></cell></row><row r="833"><cell r="M833" t="str"><v>PHg</v></cell><cell r="N833"><v>9</v></cell><cell r="O833" t="str"><v>HYG/HEL</v></cell></row><row r="834"><cell r="A834" t="str"><v>SEN.SPX</v></cell><cell r="B834" t="str"><v>Senecio sp.        </v></cell></row><row r="834"><cell r="E834" t="str"><v>      </v></cell></row><row r="834"><cell r="M834" t="str"><v>PHg</v></cell><cell r="N834"><v>9</v></cell><cell r="O834" t="str"><v>HYG/HEL</v></cell></row><row r="835"><cell r="A835" t="str"><v>SIU.LAT</v></cell><cell r="B835" t="str"><v>Sium latifolium</v></cell></row><row r="835"><cell r="E835" t="str"><v>L.      </v></cell></row><row r="835"><cell r="M835" t="str"><v>PHg</v></cell><cell r="N835"><v>9</v></cell><cell r="O835" t="str"><v>HYG/HEL</v></cell></row><row r="836"><cell r="A836" t="str"><v>SIU.SPX</v></cell><cell r="B836" t="str"><v>Sium sp.</v></cell></row><row r="836"><cell r="E836" t="str"><v>      </v></cell></row><row r="836"><cell r="M836" t="str"><v>PHg</v></cell><cell r="N836"><v>9</v></cell><cell r="O836" t="str"><v>HYG/HEL</v></cell></row><row r="837"><cell r="A837" t="str"><v>SOA.DUL</v></cell><cell r="B837" t="str"><v>Solanum dulcamara</v></cell></row><row r="837"><cell r="E837" t="str"><v>L.      </v></cell></row><row r="837"><cell r="M837" t="str"><v>PHg</v></cell><cell r="N837"><v>9</v></cell><cell r="O837" t="str"><v>HYG/HEL</v></cell></row><row r="838"><cell r="A838" t="str"><v>STA.SYL</v></cell><cell r="B838" t="str"><v>Stachys sylvatica</v></cell></row><row r="838"><cell r="E838" t="str"><v>L.      </v></cell></row><row r="838"><cell r="M838" t="str"><v>PHg</v></cell><cell r="N838"><v>9</v></cell><cell r="O838" t="str"><v>HYG</v></cell></row><row r="839"><cell r="A839" t="str"><v>STE.ULI</v></cell><cell r="B839" t="str"><v>Stellaria uliginosa        </v></cell></row><row r="839"><cell r="E839" t="str"><v>      </v></cell></row><row r="839"><cell r="M839" t="str"><v>PHg</v></cell><cell r="N839"><v>9</v></cell><cell r="O839" t="str"><v>HYG/HEL</v></cell></row><row r="840"><cell r="A840" t="str"><v>SYM.OFF</v></cell><cell r="B840" t="str"><v>Symphytum officinale</v></cell></row><row r="840"><cell r="E840" t="str"><v>L.      </v></cell></row><row r="840"><cell r="M840" t="str"><v>PHg</v></cell><cell r="N840"><v>9</v></cell><cell r="O840" t="str"><v>HYG</v></cell></row><row r="841"><cell r="A841" t="str"><v>TEU.SCO</v></cell><cell r="B841" t="str"><v>Teucrium scordium</v></cell></row><row r="841"><cell r="E841" t="str"><v>L.      </v></cell></row><row r="841"><cell r="M841" t="str"><v>PHg</v></cell><cell r="N841"><v>9</v></cell><cell r="O841" t="str"><v>HYG</v></cell></row><row r="842"><cell r="A842" t="str"><v>THL.FLA</v></cell><cell r="B842" t="str"><v>Thalictrum flavum</v></cell></row><row r="842"><cell r="E842" t="str"><v>L.      </v></cell></row><row r="842"><cell r="M842" t="str"><v>PHg</v></cell><cell r="N842"><v>9</v></cell><cell r="O842" t="str"><v>HYG</v></cell></row><row r="843"><cell r="A843" t="str"><v>URT.DIO</v></cell><cell r="B843" t="str"><v>Urtica dioica</v></cell></row><row r="843"><cell r="E843" t="str"><v>L.      </v></cell></row><row r="843"><cell r="M843" t="str"><v>PHg</v></cell><cell r="N843"><v>9</v></cell><cell r="O843" t="str"><v>HYG</v></cell></row><row r="844"><cell r="A844" t="str"><v>VAE.OFF</v></cell><cell r="B844" t="str"><v>Valerina officinalis</v></cell></row><row r="844"><cell r="E844" t="str"><v>L.      </v></cell></row><row r="844"><cell r="M844" t="str"><v>PHg</v></cell><cell r="N844"><v>9</v></cell><cell r="O844" t="str"><v>HYG</v></cell></row><row r="845"><cell r="A845" t="str"><v>VER.ANO</v></cell><cell r="B845" t="str"><v>Veronica anagalloides</v></cell></row><row r="845"><cell r="E845" t="str"><v>Guss      </v></cell></row><row r="845"><cell r="M845" t="str"><v>PHg</v></cell><cell r="N845"><v>9</v></cell><cell r="O845" t="str"><v>HYG/HEL</v></cell></row><row r="846"><cell r="A846" t="str"><v>VER.SCU</v></cell><cell r="B846" t="str"><v>Veronica scutellata</v></cell></row><row r="846"><cell r="E846" t="str"><v>L.      </v></cell></row><row r="846"><cell r="M846" t="str"><v>PHg</v></cell><cell r="N846"><v>9</v></cell><cell r="O846" t="str"><v>HYG</v></cell></row><row r="847"><cell r="A847" t="str"><v>VER.SPX</v></cell><cell r="B847" t="str"><v>Veronica sp.</v></cell></row><row r="847"><cell r="E847" t="str"><v>      </v></cell></row><row r="847"><cell r="M847" t="str"><v>PHg</v></cell><cell r="N847"><v>9</v></cell><cell r="O847" t="str"><v>HYG</v></cell></row><row r="848"><cell r="A848" t="str"><v>VIO.PAL</v></cell><cell r="B848" t="str"><v>Viola palustris        </v></cell></row><row r="848"><cell r="E848" t="str"><v>      </v></cell></row><row r="848"><cell r="M848" t="str"><v>PHg</v></cell><cell r="N848"><v>9</v></cell><cell r="O848" t="str"><v>HYG</v></cell></row><row r="849"><cell r="A849" t="str"><v>VIO.SPX</v></cell><cell r="B849" t="str"><v>Viola sp.</v></cell></row><row r="849"><cell r="E849" t="str"><v>      </v></cell></row><row r="849"><cell r="M849" t="str"><v>PHg</v></cell><cell r="N849"><v>9</v></cell><cell r="O849" t="str"><v>HYG</v></cell></row><row r="850"><cell r="B850" t="str"><v>- AUTRES PHANEROGAMES</v></cell></row><row r="850"><cell r="E850" t="str"><v>      </v></cell></row><row r="850"><cell r="M850" t="str"><v>PHx</v></cell><cell r="N850"><v>9.9</v></cell></row><row r="851"><cell r="A851" t="str"><v>ALI.WAH</v></cell><cell r="B851" t="str"><v>Alisma wahlenbergii        </v></cell></row><row r="851"><cell r="E851" t="str"><v>      </v></cell></row><row r="851"><cell r="M851" t="str"><v>PHx</v></cell><cell r="N851"><v>10</v></cell></row><row r="852"><cell r="A852" t="str"><v>BAL.ALP</v></cell><cell r="B852" t="str"><v>Baldellia alpestris        </v></cell></row><row r="852"><cell r="E852" t="str"><v>      </v></cell></row><row r="852"><cell r="M852" t="str"><v>PHx</v></cell><cell r="N852"><v>10</v></cell></row><row r="853"><cell r="A853" t="str"><v>BEC.ERU</v></cell><cell r="B853" t="str"><v>Beckmannia eruciformis        </v></cell></row><row r="853"><cell r="E853" t="str"><v>      </v></cell></row><row r="853"><cell r="M853" t="str"><v>PHx</v></cell><cell r="N853"><v>10</v></cell></row><row r="854"><cell r="A854" t="str"><v>BEC.SYZ</v></cell><cell r="B854" t="str"><v>Beckmannia syzigachne        </v></cell></row><row r="854"><cell r="E854" t="str"><v>      </v></cell></row><row r="854"><cell r="M854" t="str"><v>PHx</v></cell><cell r="N854"><v>10</v></cell></row><row r="855"><cell r="A855" t="str"><v>CAR.BUE</v></cell><cell r="B855" t="str"><v>Carex buekii</v></cell></row><row r="855"><cell r="E855" t="str"><v>Wimm.      </v></cell></row><row r="855"><cell r="M855" t="str"><v>PHx</v></cell><cell r="N855"><v>10</v></cell></row><row r="856"><cell r="A856" t="str"><v>CAR.DIA</v></cell><cell r="B856" t="str"><v>Carex diandra        </v></cell></row><row r="856"><cell r="E856" t="str"><v>      </v></cell></row><row r="856"><cell r="M856" t="str"><v>PHx</v></cell><cell r="N856"><v>10</v></cell></row><row r="857"><cell r="A857" t="str"><v>CAR.HAL</v></cell><cell r="B857" t="str"><v>Carex halophila        </v></cell></row><row r="857"><cell r="E857" t="str"><v>      </v></cell></row><row r="857"><cell r="M857" t="str"><v>PHx</v></cell><cell r="N857"><v>10</v></cell></row><row r="858"><cell r="A858" t="str"><v>CAR.REC</v></cell><cell r="B858" t="str"><v>Carex recta        </v></cell></row><row r="858"><cell r="E858" t="str"><v>      </v></cell></row><row r="858"><cell r="M858" t="str"><v>PHx</v></cell><cell r="N858"><v>10</v></cell></row><row r="859"><cell r="A859" t="str"><v>CIS.ARV</v></cell><cell r="B859" t="str"><v>Cirsium arvense</v></cell></row><row r="859"><cell r="E859" t="str"><v>(L.) Scop.     </v></cell></row><row r="859"><cell r="M859" t="str"><v>PHx</v></cell><cell r="N859"><v>10</v></cell></row><row r="860"><cell r="A860" t="str"><v>COI.LAC</v></cell><cell r="B860" t="str"><v>Coix lacryma-jobi        </v></cell></row><row r="860"><cell r="E860" t="str"><v>      </v></cell></row><row r="860"><cell r="M860" t="str"><v>PHx</v></cell><cell r="N860"><v>10</v></cell></row><row r="861"><cell r="A861" t="str"><v>DAM.BOU</v></cell><cell r="B861" t="str"><v>Damasonium bourgaei        </v></cell></row><row r="861"><cell r="E861" t="str"><v>      </v></cell></row><row r="861"><cell r="M861" t="str"><v>PHx</v></cell><cell r="N861"><v>10</v></cell></row><row r="862"><cell r="A862" t="str"><v>DAM.POL</v></cell><cell r="B862" t="str"><v>Damasonium polyspermum</v></cell></row><row r="862"><cell r="E862" t="str"><v>Cosson      </v></cell></row><row r="862"><cell r="M862" t="str"><v>PHx</v></cell><cell r="N862"><v>10</v></cell></row><row r="863"><cell r="A863" t="str"><v>ECL.PRO</v></cell><cell r="B863" t="str"><v>Eclipta prostrata        </v></cell></row><row r="863"><cell r="E863" t="str"><v>      </v></cell></row><row r="863"><cell r="M863" t="str"><v>PHx</v></cell><cell r="N863"><v>10</v></cell></row><row r="864"><cell r="A864" t="str"><v>ELE.MAM</v></cell><cell r="B864" t="str"><v>Eleocharis mamillata        </v></cell></row><row r="864"><cell r="E864" t="str"><v>      </v></cell></row><row r="864"><cell r="M864" t="str"><v>PHx</v></cell><cell r="N864"><v>10</v></cell></row><row r="865"><cell r="A865" t="str"><v>ELE.QUI</v></cell><cell r="B865" t="str"><v>Eleocharis quinqueflora</v></cell></row><row r="865"><cell r="E865" t="str"><v>(F. X. Hartman) O. Schwarz  </v></cell></row><row r="865"><cell r="M865" t="str"><v>PHx</v></cell><cell r="N865"><v>10</v></cell></row><row r="866"><cell r="A866" t="str"><v>ELE.STR</v></cell><cell r="B866" t="str"><v>Eleocharis striatulus</v></cell></row><row r="866"><cell r="E866" t="str"><v>Desv.      </v></cell></row><row r="866"><cell r="M866" t="str"><v>PHx</v></cell><cell r="N866"><v>10</v></cell></row><row r="867"><cell r="A867" t="str"><v>ERI.AQU</v></cell><cell r="B867" t="str"><v>Eriocaulon aquaticum        </v></cell></row><row r="867"><cell r="E867" t="str"><v>      </v></cell></row><row r="867"><cell r="M867" t="str"><v>PHx</v></cell><cell r="N867"><v>10</v></cell></row><row r="868"><cell r="A868" t="str"><v>ERI.CIN</v></cell><cell r="B868" t="str"><v>Eriocaulon cinereum        </v></cell></row><row r="868"><cell r="E868" t="str"><v>      </v></cell></row><row r="868"><cell r="M868" t="str"><v>PHx</v></cell><cell r="N868"><v>10</v></cell></row><row r="869"><cell r="A869" t="str"><v>GAL.APA</v></cell><cell r="B869" t="str"><v>Galium aparine</v></cell></row><row r="869"><cell r="E869" t="str"><v>L.      </v></cell></row><row r="869"><cell r="M869" t="str"><v>PHx</v></cell><cell r="N869"><v>10</v></cell><cell r="O869" t="str"><v>NA</v></cell></row><row r="870"><cell r="A870" t="str"><v>GAL.MOL</v></cell><cell r="B870" t="str"><v>Galium mollugo</v></cell></row><row r="870"><cell r="E870" t="str"><v>L.      </v></cell></row><row r="870"><cell r="M870" t="str"><v>PHx</v></cell><cell r="N870"><v>10</v></cell><cell r="O870" t="str"><v>NA</v></cell></row><row r="871"><cell r="A871" t="str"><v>GLY.PED</v></cell><cell r="B871" t="str"><v>Glyceria x pedicellata       </v></cell></row><row r="871"><cell r="E871" t="str"><v>      </v></cell></row><row r="871"><cell r="M871" t="str"><v>PHx</v></cell><cell r="N871"><v>10</v></cell></row><row r="872"><cell r="A872" t="str"><v>HEM.ALT</v></cell><cell r="B872" t="str"><v>Hemarthria altissima        </v></cell></row><row r="872"><cell r="E872" t="str"><v>      </v></cell></row><row r="872"><cell r="M872" t="str"><v>PHx</v></cell><cell r="N872"><v>10</v></cell></row><row r="873"><cell r="A873" t="str"><v>HIP.TET</v></cell><cell r="B873" t="str"><v>Hippuris tetraphylla        </v></cell></row><row r="873"><cell r="E873" t="str"><v>      </v></cell></row><row r="873"><cell r="M873" t="str"><v>PHx</v></cell><cell r="N873"><v>10</v></cell></row><row r="874"><cell r="A874" t="str"><v>IRI.SIN</v></cell><cell r="B874" t="str"><v>Iris sintenisii subsp. brandzae      </v></cell></row><row r="874"><cell r="E874" t="str"><v>      </v></cell></row><row r="874"><cell r="M874" t="str"><v>PHx</v></cell><cell r="N874"><v>10</v></cell></row><row r="875"><cell r="A875" t="str"><v>IRI.SPU</v></cell><cell r="B875" t="str"><v>Iris spuria        </v></cell></row><row r="875"><cell r="E875" t="str"><v>      </v></cell></row><row r="875"><cell r="M875" t="str"><v>PHx</v></cell><cell r="N875"><v>10</v></cell></row><row r="876"><cell r="A876" t="str"><v>IRI.VER</v></cell><cell r="B876" t="str"><v>Iris versicolor        </v></cell></row><row r="876"><cell r="E876" t="str"><v>      </v></cell></row><row r="876"><cell r="M876" t="str"><v>PHx</v></cell><cell r="N876"><v>10</v></cell></row><row r="877"><cell r="A877" t="str"><v>ISL.CER</v></cell><cell r="B877" t="str"><v>Isolepis cernua (Scirpus cermuus)</v></cell></row><row r="877"><cell r="E877" t="str"><v>      </v></cell><cell r="F877" t="str"><v>Scirpus cernuus</v></cell></row><row r="877"><cell r="M877" t="str"><v>PHx</v></cell><cell r="N877"><v>10</v></cell></row><row r="878"><cell r="A878" t="str"><v>ISL.SET</v></cell><cell r="B878" t="str"><v>Isolepis setacea (Scirpus setaccus)</v></cell></row><row r="878"><cell r="E878" t="str"><v>      </v></cell><cell r="F878" t="str"><v>Scirpus setaccus</v></cell></row><row r="878"><cell r="M878" t="str"><v>PHx</v></cell><cell r="N878"><v>10</v></cell></row><row r="879"><cell r="A879" t="str"><v>JUN.ATR</v></cell><cell r="B879" t="str"><v>Juncus atratus</v></cell></row><row r="879"><cell r="E879" t="str"><v>Krock.      </v></cell></row><row r="879"><cell r="M879" t="str"><v>PHx</v></cell><cell r="N879"><v>10</v></cell></row><row r="880"><cell r="A880" t="str"><v>LIA.ATT</v></cell><cell r="B880" t="str"><v>Lilaeopsis attenuata        </v></cell></row><row r="880"><cell r="E880" t="str"><v>      </v></cell></row><row r="880"><cell r="M880" t="str"><v>PHx</v></cell><cell r="N880"><v>10</v></cell></row><row r="881"><cell r="A881" t="str"><v>MOL.ARU</v></cell><cell r="B881" t="str"><v>Molinia arundinacea</v></cell></row><row r="881"><cell r="E881" t="str"><v>Schrank      </v></cell></row><row r="881"><cell r="M881" t="str"><v>PHx</v></cell><cell r="N881"><v>10</v></cell></row><row r="882"><cell r="A882" t="str"><v>MYI.GAL</v></cell><cell r="B882" t="str"><v>Myrica gale        </v></cell></row><row r="882"><cell r="E882" t="str"><v>      </v></cell></row><row r="882"><cell r="M882" t="str"><v>PHx</v></cell><cell r="N882"><v>10</v></cell><cell r="O882" t="str"><v>NA</v></cell></row><row r="883"><cell r="A883" t="str"><v>OTT.ALI</v></cell><cell r="B883" t="str"><v>Ottelia alismoides        </v></cell></row><row r="883"><cell r="E883" t="str"><v>      </v></cell></row><row r="883"><cell r="M883" t="str"><v>PHx</v></cell><cell r="N883"><v>10</v></cell></row><row r="884"><cell r="A884" t="str"><v>OXA.ACE</v></cell><cell r="B884" t="str"><v>Oxalis acetosella</v></cell></row><row r="884"><cell r="E884" t="str"><v>L.      </v></cell></row><row r="884"><cell r="M884" t="str"><v>PHx</v></cell><cell r="N884"><v>10</v></cell><cell r="O884" t="str"><v>NA</v></cell></row><row r="885"><cell r="A885" t="str"><v>PHC.DIG</v></cell><cell r="B885" t="str"><v>Phacelurus digitatus        </v></cell></row><row r="885"><cell r="E885" t="str"><v>      </v></cell></row><row r="885"><cell r="M885" t="str"><v>PHx</v></cell><cell r="N885"><v>10</v></cell></row><row r="886"><cell r="A886" t="str"><v>PLU.SAB</v></cell><cell r="B886" t="str"><v>Pleuropogon sabinei        </v></cell></row><row r="886"><cell r="E886" t="str"><v>      </v></cell></row><row r="886"><cell r="M886" t="str"><v>PHx</v></cell><cell r="N886"><v>10</v></cell></row><row r="887"><cell r="A887" t="str"><v>RAN.HYP</v></cell><cell r="B887" t="str"><v>Ranunculus hyperboreus        </v></cell></row><row r="887"><cell r="E887" t="str"><v>      </v></cell></row><row r="887"><cell r="M887" t="str"><v>PHx</v></cell><cell r="N887"><v>10</v></cell></row><row r="888"><cell r="A888" t="str"><v>RAN.POL</v></cell><cell r="B888" t="str"><v>Ranunculus polyphyllus        </v></cell></row><row r="888"><cell r="E888" t="str"><v>      </v></cell></row><row r="888"><cell r="M888" t="str"><v>PHx</v></cell><cell r="N888"><v>10</v></cell></row><row r="889"><cell r="A889" t="str"><v>RAN.SPH</v></cell><cell r="B889" t="str"><v>Ranunculus sphaerosphermus        </v></cell></row><row r="889"><cell r="E889" t="str"><v>      </v></cell></row><row r="889"><cell r="M889" t="str"><v>PHx</v></cell><cell r="N889"><v>10</v></cell></row><row r="890"><cell r="A890" t="str"><v>ROR.PAL</v></cell><cell r="B890" t="str"><v>Rorippa palustris</v></cell></row><row r="890"><cell r="E890" t="str"><v>(L.) Besser     </v></cell></row><row r="890"><cell r="M890" t="str"><v>PHx</v></cell><cell r="N890"><v>10</v></cell></row><row r="891"><cell r="A891" t="str"><v>ROR.ANC</v></cell><cell r="B891" t="str"><v>Rorippa x anceps       </v></cell></row><row r="891"><cell r="E891" t="str"><v>      </v></cell></row><row r="891"><cell r="M891" t="str"><v>PHx</v></cell><cell r="N891"><v>10</v></cell></row><row r="892"><cell r="A892" t="str"><v>ROR.STE</v></cell><cell r="B892" t="str"><v>Rorippa x sterilis       </v></cell></row><row r="892"><cell r="E892" t="str"><v>      </v></cell></row><row r="892"><cell r="M892" t="str"><v>PHx</v></cell><cell r="N892"><v>10</v></cell></row><row r="893"><cell r="A893" t="str"><v>RUM.PAL</v></cell><cell r="B893" t="str"><v>Rumex palustris</v></cell></row><row r="893"><cell r="E893" t="str"><v>Sm.      </v></cell></row><row r="893"><cell r="M893" t="str"><v>PHx</v></cell><cell r="N893"><v>10</v></cell></row><row r="894"><cell r="A894" t="str"><v>SAC.RAV</v></cell><cell r="B894" t="str"><v>Saccharum ravennae        </v></cell></row><row r="894"><cell r="E894" t="str"><v>      </v></cell></row><row r="894"><cell r="M894" t="str"><v>PHx</v></cell><cell r="N894"><v>10</v></cell></row><row r="895"><cell r="A895" t="str"><v>SAC.SPO</v></cell><cell r="B895" t="str"><v>Saccharum spontaneum        </v></cell></row><row r="895"><cell r="E895" t="str"><v>      </v></cell></row><row r="895"><cell r="M895" t="str"><v>PHx</v></cell><cell r="N895"><v>10</v></cell></row><row r="896"><cell r="A896" t="str"><v>SAI.PRO</v></cell><cell r="B896" t="str"><v>Sagina procumbens</v></cell></row><row r="896"><cell r="E896" t="str"><v>L.      </v></cell></row><row r="896"><cell r="M896" t="str"><v>PHx</v></cell><cell r="N896"><v>10</v></cell></row><row r="897"><cell r="A897" t="str"><v>SCI.MAR</v></cell><cell r="B897" t="str"><v>Scirpus maritimus</v></cell></row><row r="897"><cell r="E897" t="str"><v>L.      </v></cell></row><row r="897"><cell r="M897" t="str"><v>PHx</v></cell><cell r="N897"><v>10</v></cell></row><row r="898"><cell r="A898" t="str"><v>SCO.FES</v></cell><cell r="B898" t="str"><v>Scolochloa festucacea        </v></cell></row><row r="898"><cell r="E898" t="str"><v>      </v></cell></row><row r="898"><cell r="M898" t="str"><v>PHx</v></cell><cell r="N898"><v>10</v></cell></row><row r="899"><cell r="A899" t="str"><v>SIB.EUR</v></cell><cell r="B899" t="str"><v>Sibthorpia europaea</v></cell></row><row r="899"><cell r="E899" t="str"><v>L.      </v></cell></row><row r="899"><cell r="M899" t="str"><v>PHx</v></cell><cell r="N899"><v>10</v></cell></row><row r="900"><cell r="A900" t="str"><v>SPA.GLO</v></cell><cell r="B900" t="str"><v>Sparganium glomeratum        </v></cell></row><row r="900"><cell r="E900" t="str"><v>      </v></cell></row><row r="900"><cell r="M900" t="str"><v>PHx</v></cell><cell r="N900"><v>10</v></cell></row><row r="901"><cell r="A901" t="str"><v>SPA.GRA</v></cell><cell r="B901" t="str"><v>Sparganium gramineum        </v></cell></row><row r="901"><cell r="E901" t="str"><v>      </v></cell></row><row r="901"><cell r="M901" t="str"><v>PHx</v></cell><cell r="N901"><v>10</v></cell></row><row r="902"><cell r="A902" t="str"><v>SPA.HYP</v></cell><cell r="B902" t="str"><v>Sparganium hyperboreum        </v></cell></row><row r="902"><cell r="E902" t="str"><v>      </v></cell></row><row r="902"><cell r="M902" t="str"><v>PHx</v></cell><cell r="N902"><v>10</v></cell></row><row r="903"><cell r="A903" t="str"><v>SPA.NAT</v></cell><cell r="B903" t="str"><v>Sparganium natans</v></cell></row><row r="903"><cell r="E903" t="str"><v>L.      </v></cell></row><row r="903"><cell r="M903" t="str"><v>PHx</v></cell><cell r="N903"><v>10</v></cell></row><row r="904"><cell r="A904" t="str"><v>STE.PAL</v></cell><cell r="B904" t="str"><v>Stellaria palustris        </v></cell></row><row r="904"><cell r="E904" t="str"><v>      </v></cell></row><row r="904"><cell r="M904" t="str"><v>PHx</v></cell><cell r="N904"><v>10</v></cell></row><row r="905"><cell r="A905" t="str"><v>VER.FIL</v></cell><cell r="B905" t="str"><v>Veronica filiformis</v></cell></row><row r="905"><cell r="E905" t="str"><v>Sm.      </v></cell></row><row r="905"><cell r="M905" t="str"><v>PHx</v></cell><cell r="N905"><v>10</v></cell></row><row r="906"><cell r="A906" t="str"><v>VER.LAC</v></cell><cell r="B906" t="str"><v>Veronica x lackschewitzii       </v></cell></row><row r="906"><cell r="E906" t="str"><v>      </v></cell></row><row r="906"><cell r="M906" t="str"><v>PHx</v></cell><cell r="N906"><v>10</v></cell></row></sheetData><sheetData sheetId="3"></sheetData><sheetData sheetId="4"></sheetData><sheetData sheetId="5"></sheetData></sheetDataSet></externalBook></externalLink>
</file>

<file path=xl/externalLinks/externalLink2.xml><?xml version="1.0" encoding="utf-8"?>
<externalLink xmlns="http://schemas.openxmlformats.org/spreadsheetml/2006/main">
  <externalBook xmlns:r="http://schemas.openxmlformats.org/officeDocument/2006/relationships" r:id="rId1">
    <sheetNames>
      <sheetName val="05150900"/>
    </sheetNames>
    <sheetDataSet>
      <sheetData sheetId="0"/>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B94"/>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1796875" defaultRowHeight="12.75" zeroHeight="false" outlineLevelRow="0" outlineLevelCol="0"/>
  <cols>
    <col collapsed="false" customWidth="true" hidden="false" outlineLevel="0" max="1" min="1" style="1" width="18.56"/>
    <col collapsed="false" customWidth="true" hidden="false" outlineLevel="0" max="2" min="2" style="1" width="9.7"/>
    <col collapsed="false" customWidth="true" hidden="false" outlineLevel="0" max="3" min="3" style="1" width="9.41"/>
    <col collapsed="false" customWidth="true" hidden="true" outlineLevel="0" max="4" min="4" style="1" width="9.41"/>
    <col collapsed="false" customWidth="true" hidden="true" outlineLevel="0" max="5" min="5" style="1" width="8.99"/>
    <col collapsed="false" customWidth="true" hidden="false" outlineLevel="0" max="6" min="6" style="1" width="7.14"/>
    <col collapsed="false" customWidth="true" hidden="false" outlineLevel="0" max="7" min="7" style="1" width="5.56"/>
    <col collapsed="false" customWidth="true" hidden="true" outlineLevel="0" max="8" min="8" style="2" width="3.14"/>
    <col collapsed="false" customWidth="true" hidden="false" outlineLevel="0" max="9" min="9" style="1" width="3.14"/>
    <col collapsed="false" customWidth="true" hidden="false" outlineLevel="0" max="10" min="10" style="1" width="2.42"/>
    <col collapsed="false" customWidth="true" hidden="false" outlineLevel="0" max="11" min="11" style="1" width="8.99"/>
    <col collapsed="false" customWidth="true" hidden="false" outlineLevel="0" max="12" min="12" style="1" width="6.28"/>
    <col collapsed="false" customWidth="true" hidden="false" outlineLevel="0" max="13" min="13" style="1" width="8.7"/>
    <col collapsed="false" customWidth="true" hidden="false" outlineLevel="0" max="14" min="14" style="1" width="8.85"/>
    <col collapsed="false" customWidth="true" hidden="false" outlineLevel="0" max="15" min="15" style="1" width="8.99"/>
    <col collapsed="false" customWidth="true" hidden="true" outlineLevel="0" max="17" min="16" style="2" width="8.7"/>
    <col collapsed="false" customWidth="true" hidden="true" outlineLevel="0" max="18" min="18" style="2" width="6.99"/>
    <col collapsed="false" customWidth="true" hidden="true" outlineLevel="0" max="19" min="19" style="2" width="4.85"/>
    <col collapsed="false" customWidth="true" hidden="true" outlineLevel="0" max="21" min="20" style="2" width="3.14"/>
    <col collapsed="false" customWidth="true" hidden="false" outlineLevel="0" max="22" min="22" style="1" width="15.13"/>
    <col collapsed="false" customWidth="true" hidden="false" outlineLevel="0" max="23" min="23" style="1" width="15.41"/>
    <col collapsed="false" customWidth="false" hidden="true" outlineLevel="0" max="25" min="24" style="1" width="11.42"/>
    <col collapsed="false" customWidth="true" hidden="false" outlineLevel="0" max="26" min="26" style="2" width="6.28"/>
    <col collapsed="false" customWidth="true" hidden="false" outlineLevel="0" max="27" min="27" style="1" width="36.28"/>
    <col collapsed="false" customWidth="true" hidden="false" outlineLevel="0" max="28" min="28" style="1" width="11.99"/>
    <col collapsed="false" customWidth="false" hidden="false" outlineLevel="0" max="257" min="29" style="1" width="11.42"/>
  </cols>
  <sheetData>
    <row r="1" customFormat="false" ht="15.75" hidden="false" customHeight="false" outlineLevel="0" collapsed="false">
      <c r="A1" s="3" t="s">
        <v>0</v>
      </c>
      <c r="B1" s="4"/>
      <c r="C1" s="4"/>
      <c r="D1" s="5"/>
      <c r="E1" s="5"/>
      <c r="F1" s="4"/>
      <c r="G1" s="6"/>
      <c r="H1" s="7"/>
      <c r="I1" s="4"/>
      <c r="J1" s="4"/>
      <c r="K1" s="4"/>
      <c r="L1" s="4"/>
      <c r="M1" s="4"/>
      <c r="N1" s="4"/>
      <c r="O1" s="8" t="s">
        <v>1</v>
      </c>
      <c r="P1" s="9"/>
      <c r="Q1" s="9"/>
      <c r="R1" s="9"/>
      <c r="S1" s="9"/>
      <c r="T1" s="9"/>
      <c r="U1" s="9"/>
      <c r="V1" s="10"/>
      <c r="W1" s="11"/>
    </row>
    <row r="2" customFormat="false" ht="12.75" hidden="false" customHeight="false" outlineLevel="0" collapsed="false">
      <c r="A2" s="12" t="s">
        <v>2</v>
      </c>
      <c r="B2" s="13"/>
      <c r="C2" s="14" t="s">
        <v>3</v>
      </c>
      <c r="D2" s="9"/>
      <c r="E2" s="15"/>
      <c r="F2" s="16"/>
      <c r="G2" s="16"/>
      <c r="H2" s="17"/>
      <c r="I2" s="16"/>
      <c r="J2" s="16"/>
      <c r="K2" s="16"/>
      <c r="L2" s="18"/>
      <c r="M2" s="19"/>
      <c r="N2" s="19"/>
      <c r="O2" s="20" t="s">
        <v>4</v>
      </c>
      <c r="P2" s="9"/>
      <c r="Q2" s="9"/>
      <c r="R2" s="9"/>
      <c r="S2" s="9"/>
      <c r="T2" s="9"/>
      <c r="U2" s="9"/>
      <c r="V2" s="21"/>
      <c r="W2" s="22"/>
    </row>
    <row r="3" customFormat="false" ht="13.5" hidden="false" customHeight="false" outlineLevel="0" collapsed="false">
      <c r="A3" s="12" t="s">
        <v>5</v>
      </c>
      <c r="B3" s="13"/>
      <c r="C3" s="12" t="s">
        <v>6</v>
      </c>
      <c r="D3" s="23"/>
      <c r="E3" s="23"/>
      <c r="F3" s="24"/>
      <c r="G3" s="24"/>
      <c r="H3" s="25"/>
      <c r="I3" s="26"/>
      <c r="J3" s="25"/>
      <c r="K3" s="27" t="s">
        <v>7</v>
      </c>
      <c r="L3" s="28"/>
      <c r="M3" s="29" t="s">
        <v>8</v>
      </c>
      <c r="N3" s="30"/>
      <c r="O3" s="31"/>
      <c r="P3" s="9"/>
      <c r="Q3" s="9"/>
      <c r="R3" s="9"/>
      <c r="S3" s="9"/>
      <c r="T3" s="9"/>
      <c r="U3" s="9"/>
      <c r="V3" s="21"/>
      <c r="W3" s="22"/>
    </row>
    <row r="4" customFormat="false" ht="13.5" hidden="false" customHeight="false" outlineLevel="0" collapsed="false">
      <c r="A4" s="32" t="n">
        <v>40359</v>
      </c>
      <c r="B4" s="33"/>
      <c r="C4" s="34"/>
      <c r="D4" s="35"/>
      <c r="E4" s="35"/>
      <c r="F4" s="34"/>
      <c r="G4" s="34"/>
      <c r="H4" s="35"/>
      <c r="I4" s="36" t="s">
        <v>9</v>
      </c>
      <c r="J4" s="37"/>
      <c r="K4" s="37"/>
      <c r="L4" s="38"/>
      <c r="M4" s="38"/>
      <c r="N4" s="39" t="s">
        <v>10</v>
      </c>
      <c r="O4" s="40"/>
      <c r="P4" s="9"/>
      <c r="Q4" s="9"/>
      <c r="R4" s="9"/>
      <c r="S4" s="9"/>
      <c r="T4" s="9"/>
      <c r="U4" s="9"/>
      <c r="V4" s="21"/>
      <c r="W4" s="41"/>
    </row>
    <row r="5" customFormat="false" ht="14.25" hidden="false" customHeight="true" outlineLevel="0" collapsed="false">
      <c r="A5" s="42"/>
      <c r="B5" s="43" t="s">
        <v>11</v>
      </c>
      <c r="C5" s="44" t="s">
        <v>12</v>
      </c>
      <c r="D5" s="45"/>
      <c r="E5" s="45"/>
      <c r="F5" s="46" t="s">
        <v>13</v>
      </c>
      <c r="G5" s="47"/>
      <c r="H5" s="45"/>
      <c r="I5" s="48"/>
      <c r="J5" s="49"/>
      <c r="K5" s="50" t="s">
        <v>14</v>
      </c>
      <c r="L5" s="51" t="n">
        <v>11.531914893617</v>
      </c>
      <c r="M5" s="52"/>
      <c r="N5" s="53" t="s">
        <v>15</v>
      </c>
      <c r="O5" s="54" t="n">
        <v>11.0243902439024</v>
      </c>
      <c r="P5" s="9"/>
      <c r="Q5" s="9"/>
      <c r="R5" s="9"/>
      <c r="S5" s="9"/>
      <c r="T5" s="9"/>
      <c r="U5" s="9"/>
      <c r="V5" s="21"/>
      <c r="W5" s="41"/>
    </row>
    <row r="6" customFormat="false" ht="13.5" hidden="false" customHeight="false" outlineLevel="0" collapsed="false">
      <c r="A6" s="55" t="s">
        <v>16</v>
      </c>
      <c r="B6" s="56" t="s">
        <v>17</v>
      </c>
      <c r="C6" s="57" t="s">
        <v>18</v>
      </c>
      <c r="D6" s="45"/>
      <c r="E6" s="45"/>
      <c r="F6" s="46"/>
      <c r="G6" s="47"/>
      <c r="H6" s="45"/>
      <c r="I6" s="58" t="s">
        <v>19</v>
      </c>
      <c r="J6" s="59"/>
      <c r="K6" s="60"/>
      <c r="L6" s="61" t="s">
        <v>20</v>
      </c>
      <c r="M6" s="62"/>
      <c r="N6" s="63" t="s">
        <v>21</v>
      </c>
      <c r="O6" s="63"/>
      <c r="P6" s="9"/>
      <c r="Q6" s="9"/>
      <c r="R6" s="9"/>
      <c r="S6" s="9"/>
      <c r="T6" s="9"/>
      <c r="U6" s="9"/>
      <c r="V6" s="21"/>
      <c r="W6" s="22"/>
    </row>
    <row r="7" customFormat="false" ht="12.75" hidden="false" customHeight="false" outlineLevel="0" collapsed="false">
      <c r="A7" s="64" t="s">
        <v>22</v>
      </c>
      <c r="B7" s="65" t="n">
        <v>54</v>
      </c>
      <c r="C7" s="66" t="n">
        <v>46</v>
      </c>
      <c r="D7" s="67"/>
      <c r="E7" s="67"/>
      <c r="F7" s="68" t="n">
        <f aca="false">IF((OR((B7+C7=100),(B7+C7=0))),B7+C7,"ATTENTION")</f>
        <v>100</v>
      </c>
      <c r="G7" s="69"/>
      <c r="H7" s="67"/>
      <c r="I7" s="70"/>
      <c r="J7" s="71"/>
      <c r="K7" s="72"/>
      <c r="L7" s="73"/>
      <c r="M7" s="74"/>
      <c r="N7" s="75" t="s">
        <v>23</v>
      </c>
      <c r="O7" s="76" t="s">
        <v>24</v>
      </c>
      <c r="P7" s="9"/>
      <c r="Q7" s="9"/>
      <c r="R7" s="9"/>
      <c r="S7" s="9"/>
      <c r="T7" s="9"/>
      <c r="U7" s="9"/>
      <c r="V7" s="21"/>
      <c r="W7" s="22"/>
    </row>
    <row r="8" customFormat="false" ht="12.75" hidden="false" customHeight="false" outlineLevel="0" collapsed="false">
      <c r="A8" s="77" t="s">
        <v>25</v>
      </c>
      <c r="B8" s="77"/>
      <c r="C8" s="77"/>
      <c r="D8" s="67"/>
      <c r="E8" s="67"/>
      <c r="F8" s="78" t="s">
        <v>26</v>
      </c>
      <c r="G8" s="79"/>
      <c r="H8" s="80"/>
      <c r="I8" s="70"/>
      <c r="J8" s="71"/>
      <c r="K8" s="72"/>
      <c r="L8" s="73"/>
      <c r="M8" s="81" t="s">
        <v>27</v>
      </c>
      <c r="N8" s="82" t="n">
        <f aca="false">AVERAGE(I23:I82)</f>
        <v>10.7894736842105</v>
      </c>
      <c r="O8" s="83" t="n">
        <f aca="false">AVERAGE(J23:J82)</f>
        <v>1.57894736842105</v>
      </c>
      <c r="P8" s="9"/>
      <c r="Q8" s="9"/>
      <c r="R8" s="9"/>
      <c r="S8" s="9"/>
      <c r="T8" s="9"/>
      <c r="U8" s="9"/>
      <c r="V8" s="21"/>
      <c r="W8" s="22"/>
    </row>
    <row r="9" customFormat="false" ht="13.5" hidden="false" customHeight="false" outlineLevel="0" collapsed="false">
      <c r="A9" s="84" t="s">
        <v>28</v>
      </c>
      <c r="B9" s="85" t="n">
        <v>13.15</v>
      </c>
      <c r="C9" s="86" t="n">
        <v>11.435</v>
      </c>
      <c r="D9" s="87"/>
      <c r="E9" s="87"/>
      <c r="F9" s="88" t="n">
        <f aca="false">($B9*$B$7+$C9*$C$7)/100</f>
        <v>12.3611</v>
      </c>
      <c r="G9" s="89"/>
      <c r="H9" s="90"/>
      <c r="I9" s="91"/>
      <c r="J9" s="92"/>
      <c r="K9" s="72"/>
      <c r="L9" s="93"/>
      <c r="M9" s="81" t="s">
        <v>29</v>
      </c>
      <c r="N9" s="82" t="n">
        <f aca="false">STDEV(I23:I82)</f>
        <v>2.57291333723771</v>
      </c>
      <c r="O9" s="83" t="n">
        <f aca="false">STDEV(J23:J82)</f>
        <v>0.507257273501788</v>
      </c>
      <c r="P9" s="9"/>
      <c r="Q9" s="9"/>
      <c r="R9" s="9"/>
      <c r="S9" s="9"/>
      <c r="T9" s="9"/>
      <c r="U9" s="9"/>
      <c r="V9" s="94"/>
      <c r="W9" s="95"/>
    </row>
    <row r="10" customFormat="false" ht="13.5" hidden="false" customHeight="false" outlineLevel="0" collapsed="false">
      <c r="A10" s="96" t="s">
        <v>30</v>
      </c>
      <c r="B10" s="97" t="n">
        <v>40</v>
      </c>
      <c r="C10" s="98" t="n">
        <v>15</v>
      </c>
      <c r="D10" s="99"/>
      <c r="E10" s="99"/>
      <c r="F10" s="88" t="n">
        <f aca="false">($B10*$B$7+$C10*$C$7)/100</f>
        <v>28.5</v>
      </c>
      <c r="G10" s="89"/>
      <c r="H10" s="100"/>
      <c r="I10" s="101"/>
      <c r="J10" s="102" t="s">
        <v>31</v>
      </c>
      <c r="K10" s="102"/>
      <c r="L10" s="103"/>
      <c r="M10" s="104" t="s">
        <v>32</v>
      </c>
      <c r="N10" s="105" t="n">
        <f aca="false">MIN(I23:I82)</f>
        <v>5</v>
      </c>
      <c r="O10" s="106" t="n">
        <f aca="false">MIN(J23:J82)</f>
        <v>1</v>
      </c>
      <c r="P10" s="9"/>
      <c r="Q10" s="9"/>
      <c r="R10" s="9"/>
      <c r="S10" s="9"/>
      <c r="T10" s="9"/>
      <c r="U10" s="9"/>
    </row>
    <row r="11" customFormat="false" ht="12.75" hidden="false" customHeight="false" outlineLevel="0" collapsed="false">
      <c r="A11" s="107" t="s">
        <v>33</v>
      </c>
      <c r="B11" s="108"/>
      <c r="C11" s="109"/>
      <c r="D11" s="110"/>
      <c r="E11" s="110"/>
      <c r="F11" s="111" t="n">
        <f aca="false">($B11*$B$7+$C11*$C$7)/100</f>
        <v>0</v>
      </c>
      <c r="G11" s="112"/>
      <c r="H11" s="67"/>
      <c r="I11" s="113" t="s">
        <v>34</v>
      </c>
      <c r="J11" s="113"/>
      <c r="K11" s="114" t="n">
        <f aca="false">COUNTIF($G$23:$G$82,"=HET")</f>
        <v>0</v>
      </c>
      <c r="L11" s="115"/>
      <c r="M11" s="104" t="s">
        <v>35</v>
      </c>
      <c r="N11" s="105" t="n">
        <f aca="false">MAX(I23:I82)</f>
        <v>15</v>
      </c>
      <c r="O11" s="106" t="n">
        <f aca="false">MAX(J23:J82)</f>
        <v>2</v>
      </c>
      <c r="P11" s="9"/>
      <c r="Q11" s="9"/>
      <c r="R11" s="9"/>
      <c r="S11" s="9"/>
      <c r="T11" s="9"/>
      <c r="U11" s="9"/>
    </row>
    <row r="12" customFormat="false" ht="12.75" hidden="false" customHeight="false" outlineLevel="0" collapsed="false">
      <c r="A12" s="116" t="s">
        <v>36</v>
      </c>
      <c r="B12" s="117" t="n">
        <v>10.22</v>
      </c>
      <c r="C12" s="118" t="n">
        <v>0.65</v>
      </c>
      <c r="D12" s="110"/>
      <c r="E12" s="110"/>
      <c r="F12" s="111" t="n">
        <f aca="false">($B12*$B$7+$C12*$C$7)/100</f>
        <v>5.8178</v>
      </c>
      <c r="G12" s="119"/>
      <c r="H12" s="67"/>
      <c r="I12" s="120" t="s">
        <v>37</v>
      </c>
      <c r="J12" s="120"/>
      <c r="K12" s="114" t="n">
        <f aca="false">COUNTIF($G$23:$G$82,"=ALG")</f>
        <v>6</v>
      </c>
      <c r="L12" s="121"/>
      <c r="M12" s="122"/>
      <c r="N12" s="123" t="s">
        <v>31</v>
      </c>
      <c r="O12" s="124"/>
      <c r="P12" s="9"/>
      <c r="Q12" s="9"/>
      <c r="R12" s="9"/>
      <c r="S12" s="9"/>
      <c r="T12" s="9"/>
      <c r="U12" s="9"/>
    </row>
    <row r="13" customFormat="false" ht="12.75" hidden="false" customHeight="false" outlineLevel="0" collapsed="false">
      <c r="A13" s="116" t="s">
        <v>38</v>
      </c>
      <c r="B13" s="117" t="n">
        <v>0.03</v>
      </c>
      <c r="C13" s="118" t="n">
        <v>0.005</v>
      </c>
      <c r="D13" s="110"/>
      <c r="E13" s="110"/>
      <c r="F13" s="111" t="n">
        <f aca="false">($B13*$B$7+$C13*$C$7)/100</f>
        <v>0.0185</v>
      </c>
      <c r="G13" s="119"/>
      <c r="H13" s="67"/>
      <c r="I13" s="120" t="s">
        <v>39</v>
      </c>
      <c r="J13" s="120"/>
      <c r="K13" s="114" t="n">
        <f aca="false">COUNTIF($G$23:$G$82,"=BRm")+COUNTIF($G$23:$G$82,"=BRh")</f>
        <v>4</v>
      </c>
      <c r="L13" s="115"/>
      <c r="M13" s="125" t="s">
        <v>40</v>
      </c>
      <c r="N13" s="126" t="n">
        <f aca="false">COUNTIF(F23:F82,"&gt;0")</f>
        <v>24</v>
      </c>
      <c r="O13" s="127"/>
      <c r="P13" s="9"/>
      <c r="Q13" s="9"/>
      <c r="R13" s="9"/>
      <c r="S13" s="9"/>
      <c r="T13" s="9"/>
      <c r="U13" s="9"/>
    </row>
    <row r="14" customFormat="false" ht="12.75" hidden="false" customHeight="false" outlineLevel="0" collapsed="false">
      <c r="A14" s="116" t="s">
        <v>41</v>
      </c>
      <c r="B14" s="117" t="n">
        <v>0</v>
      </c>
      <c r="C14" s="118" t="n">
        <v>0</v>
      </c>
      <c r="D14" s="110"/>
      <c r="E14" s="110"/>
      <c r="F14" s="111" t="n">
        <f aca="false">($B14*$B$7+$C14*$C$7)/100</f>
        <v>0</v>
      </c>
      <c r="G14" s="119"/>
      <c r="H14" s="67"/>
      <c r="I14" s="120" t="s">
        <v>42</v>
      </c>
      <c r="J14" s="120"/>
      <c r="K14" s="114" t="n">
        <f aca="false">COUNTIF($G$23:$G$82,"=PTE")</f>
        <v>0</v>
      </c>
      <c r="L14" s="115"/>
      <c r="M14" s="128" t="s">
        <v>43</v>
      </c>
      <c r="N14" s="129" t="n">
        <f aca="false">COUNTIF($I$23:$I$82,"&gt;-1")</f>
        <v>19</v>
      </c>
      <c r="O14" s="130"/>
      <c r="P14" s="9"/>
      <c r="Q14" s="9"/>
      <c r="R14" s="9"/>
      <c r="S14" s="9"/>
      <c r="T14" s="9"/>
      <c r="U14" s="9"/>
    </row>
    <row r="15" customFormat="false" ht="12.75" hidden="false" customHeight="false" outlineLevel="0" collapsed="false">
      <c r="A15" s="131" t="s">
        <v>44</v>
      </c>
      <c r="B15" s="132" t="n">
        <v>2.9</v>
      </c>
      <c r="C15" s="133" t="n">
        <v>10.78</v>
      </c>
      <c r="D15" s="110"/>
      <c r="E15" s="110"/>
      <c r="F15" s="111" t="n">
        <f aca="false">($B15*$B$7+$C15*$C$7)/100</f>
        <v>6.5248</v>
      </c>
      <c r="G15" s="119"/>
      <c r="H15" s="67"/>
      <c r="I15" s="120" t="s">
        <v>45</v>
      </c>
      <c r="J15" s="120"/>
      <c r="K15" s="114" t="n">
        <f aca="false">(COUNTIF($G$23:$G$82,"=PHy"))+(COUNTIF($G$23:$G$82,"=PHe"))+(COUNTIF($G$23:$G$82,"=PHg"))+(COUNTIF($G$23:$G$82,"=PHx"))</f>
        <v>14</v>
      </c>
      <c r="L15" s="115"/>
      <c r="M15" s="134" t="s">
        <v>46</v>
      </c>
      <c r="N15" s="135" t="n">
        <f aca="false">COUNTIF(J23:J82,"=1")</f>
        <v>8</v>
      </c>
      <c r="O15" s="136"/>
      <c r="P15" s="9"/>
      <c r="Q15" s="9"/>
      <c r="R15" s="9"/>
      <c r="S15" s="9"/>
      <c r="T15" s="9"/>
      <c r="U15" s="9"/>
    </row>
    <row r="16" customFormat="false" ht="12.75" hidden="false" customHeight="false" outlineLevel="0" collapsed="false">
      <c r="A16" s="107" t="s">
        <v>47</v>
      </c>
      <c r="B16" s="108" t="n">
        <v>2.505</v>
      </c>
      <c r="C16" s="109" t="n">
        <v>8.6</v>
      </c>
      <c r="D16" s="137"/>
      <c r="E16" s="137"/>
      <c r="F16" s="138"/>
      <c r="G16" s="138" t="n">
        <f aca="false">($B16*$B$7+$C16*$C$7)/100</f>
        <v>5.3087</v>
      </c>
      <c r="H16" s="67"/>
      <c r="I16" s="120"/>
      <c r="J16" s="139"/>
      <c r="K16" s="139"/>
      <c r="L16" s="115"/>
      <c r="M16" s="134" t="s">
        <v>48</v>
      </c>
      <c r="N16" s="135" t="n">
        <f aca="false">COUNTIF(J23:J82,"=2")</f>
        <v>11</v>
      </c>
      <c r="O16" s="136"/>
      <c r="P16" s="9"/>
      <c r="Q16" s="9"/>
      <c r="R16" s="9"/>
      <c r="S16" s="9"/>
      <c r="T16" s="9"/>
      <c r="U16" s="9"/>
    </row>
    <row r="17" customFormat="false" ht="12.75" hidden="false" customHeight="false" outlineLevel="0" collapsed="false">
      <c r="A17" s="116" t="s">
        <v>49</v>
      </c>
      <c r="B17" s="117" t="n">
        <v>10.25</v>
      </c>
      <c r="C17" s="118" t="n">
        <v>0.655</v>
      </c>
      <c r="D17" s="110"/>
      <c r="E17" s="110"/>
      <c r="F17" s="140"/>
      <c r="G17" s="111" t="n">
        <f aca="false">($B17*$B$7+$C17*$C$7)/100</f>
        <v>5.8363</v>
      </c>
      <c r="H17" s="67"/>
      <c r="I17" s="120"/>
      <c r="J17" s="120"/>
      <c r="K17" s="139"/>
      <c r="L17" s="115"/>
      <c r="M17" s="134" t="s">
        <v>50</v>
      </c>
      <c r="N17" s="135" t="n">
        <f aca="false">COUNTIF(J23:J82,"=3")</f>
        <v>0</v>
      </c>
      <c r="O17" s="136"/>
      <c r="P17" s="9"/>
      <c r="Q17" s="9"/>
      <c r="R17" s="9"/>
      <c r="S17" s="9"/>
      <c r="T17" s="9"/>
      <c r="U17" s="9"/>
    </row>
    <row r="18" customFormat="false" ht="12.75" hidden="false" customHeight="false" outlineLevel="0" collapsed="false">
      <c r="A18" s="141" t="s">
        <v>51</v>
      </c>
      <c r="B18" s="142" t="n">
        <v>0.395</v>
      </c>
      <c r="C18" s="143" t="n">
        <v>2.18</v>
      </c>
      <c r="D18" s="110"/>
      <c r="E18" s="144" t="s">
        <v>52</v>
      </c>
      <c r="F18" s="140"/>
      <c r="G18" s="111" t="n">
        <f aca="false">($B18*$B$7+$C18*$C$7)/100</f>
        <v>1.2161</v>
      </c>
      <c r="H18" s="67"/>
      <c r="I18" s="120"/>
      <c r="J18" s="120"/>
      <c r="K18" s="139"/>
      <c r="L18" s="115"/>
      <c r="M18" s="145"/>
      <c r="N18" s="145"/>
      <c r="O18" s="136"/>
      <c r="P18" s="9"/>
      <c r="Q18" s="9"/>
      <c r="R18" s="9"/>
      <c r="S18" s="9"/>
      <c r="T18" s="9"/>
      <c r="U18" s="9"/>
      <c r="V18" s="146"/>
    </row>
    <row r="19" customFormat="false" ht="13.5" hidden="false" customHeight="false" outlineLevel="0" collapsed="false">
      <c r="A19" s="147" t="str">
        <f aca="false">IF(AND(OR(AND((B9=""),(B7="")),(B9=""),AND(ISNUMBER(B9),ISNUMBER(B7))),OR(AND((C9=""),(C7="")),(C9=""),AND(ISNUMBER(C9),ISNUMBER(C7)))),"","ATTENTION: renseigner % faciès / station")</f>
        <v/>
      </c>
      <c r="B19" s="148"/>
      <c r="C19" s="149"/>
      <c r="D19" s="150" t="str">
        <f aca="false">IF(G19=F19,"","ATTENTION : le total par grp. floristiques doit être égal")</f>
        <v/>
      </c>
      <c r="E19" s="151" t="str">
        <f aca="false">IF(G19=F19,"","au total par grp. Fonctionnels !")</f>
        <v/>
      </c>
      <c r="F19" s="152" t="n">
        <f aca="false">SUM(F11:F15)</f>
        <v>12.3611</v>
      </c>
      <c r="G19" s="152" t="n">
        <f aca="false">SUM(G16:G18)</f>
        <v>12.3611</v>
      </c>
      <c r="H19" s="153"/>
      <c r="I19" s="154"/>
      <c r="J19" s="155"/>
      <c r="K19" s="156"/>
      <c r="L19" s="157"/>
      <c r="M19" s="158"/>
      <c r="N19" s="60"/>
      <c r="O19" s="159"/>
      <c r="P19" s="9"/>
      <c r="Q19" s="9"/>
      <c r="R19" s="9"/>
      <c r="S19" s="9"/>
      <c r="T19" s="9"/>
      <c r="U19" s="9"/>
      <c r="V19" s="146"/>
    </row>
    <row r="20" customFormat="false" ht="12.75" hidden="false" customHeight="false" outlineLevel="0" collapsed="false">
      <c r="A20" s="84" t="s">
        <v>53</v>
      </c>
      <c r="B20" s="160" t="n">
        <f aca="false">SUM(B23:B82)</f>
        <v>13.15</v>
      </c>
      <c r="C20" s="161" t="n">
        <f aca="false">SUM(C23:C82)</f>
        <v>11.435</v>
      </c>
      <c r="D20" s="162"/>
      <c r="E20" s="163" t="s">
        <v>52</v>
      </c>
      <c r="F20" s="164" t="n">
        <f aca="false">($B20*$B$7+$C20*$C$7)/100</f>
        <v>12.3611</v>
      </c>
      <c r="G20" s="165"/>
      <c r="H20" s="166"/>
      <c r="I20" s="167"/>
      <c r="J20" s="167"/>
      <c r="K20" s="168"/>
      <c r="L20" s="46"/>
      <c r="M20" s="169"/>
      <c r="N20" s="169"/>
      <c r="O20" s="170"/>
      <c r="P20" s="171" t="s">
        <v>54</v>
      </c>
      <c r="Q20" s="9"/>
      <c r="R20" s="9"/>
      <c r="S20" s="9"/>
      <c r="T20" s="9"/>
      <c r="U20" s="9"/>
      <c r="V20" s="146"/>
    </row>
    <row r="21" customFormat="false" ht="12.75" hidden="false" customHeight="false" outlineLevel="0" collapsed="false">
      <c r="A21" s="172" t="s">
        <v>55</v>
      </c>
      <c r="B21" s="173" t="n">
        <f aca="false">B20*B7/100</f>
        <v>7.101</v>
      </c>
      <c r="C21" s="173" t="n">
        <f aca="false">C20*C7/100</f>
        <v>5.2601</v>
      </c>
      <c r="D21" s="110" t="str">
        <f aca="false">IF(F21=0,"",IF((ABS(F21-F19))&gt;(0.2*F21),CONCATENATE(" rec. par taxa (",F21," %) supérieur à 20 % !"),""))</f>
        <v/>
      </c>
      <c r="E21" s="174" t="str">
        <f aca="false">IF(F21=0,"",IF((ABS(F21-F19))&gt;(0.2*F21),CONCATENATE("ATTENTION : écart entre rec. par grp (",F19," %) ","et",""),""))</f>
        <v/>
      </c>
      <c r="F21" s="175" t="n">
        <f aca="false">B21+C21</f>
        <v>12.3611</v>
      </c>
      <c r="G21" s="176"/>
      <c r="H21" s="110"/>
      <c r="I21" s="177"/>
      <c r="J21" s="177"/>
      <c r="K21" s="178"/>
      <c r="L21" s="178"/>
      <c r="M21" s="179"/>
      <c r="N21" s="179"/>
      <c r="O21" s="180"/>
      <c r="P21" s="181" t="s">
        <v>56</v>
      </c>
      <c r="Q21" s="9"/>
      <c r="R21" s="9"/>
      <c r="S21" s="9"/>
      <c r="T21" s="9"/>
      <c r="U21" s="9"/>
      <c r="V21" s="146"/>
    </row>
    <row r="22" customFormat="false" ht="12.75" hidden="false" customHeight="false" outlineLevel="0" collapsed="false">
      <c r="A22" s="182" t="s">
        <v>57</v>
      </c>
      <c r="B22" s="183" t="s">
        <v>58</v>
      </c>
      <c r="C22" s="184" t="s">
        <v>58</v>
      </c>
      <c r="D22" s="137"/>
      <c r="E22" s="137"/>
      <c r="F22" s="185" t="s">
        <v>59</v>
      </c>
      <c r="G22" s="186" t="s">
        <v>60</v>
      </c>
      <c r="H22" s="137"/>
      <c r="I22" s="187" t="s">
        <v>61</v>
      </c>
      <c r="J22" s="187" t="s">
        <v>62</v>
      </c>
      <c r="K22" s="188" t="s">
        <v>63</v>
      </c>
      <c r="L22" s="188"/>
      <c r="M22" s="188"/>
      <c r="N22" s="188"/>
      <c r="O22" s="188"/>
      <c r="P22" s="189" t="s">
        <v>64</v>
      </c>
      <c r="Q22" s="190" t="s">
        <v>65</v>
      </c>
      <c r="R22" s="191" t="s">
        <v>66</v>
      </c>
      <c r="S22" s="192" t="s">
        <v>67</v>
      </c>
      <c r="T22" s="193" t="s">
        <v>68</v>
      </c>
      <c r="U22" s="191" t="s">
        <v>69</v>
      </c>
      <c r="X22" s="9" t="s">
        <v>70</v>
      </c>
      <c r="Y22" s="9" t="s">
        <v>71</v>
      </c>
      <c r="Z22" s="194" t="s">
        <v>72</v>
      </c>
      <c r="AA22" s="194" t="s">
        <v>73</v>
      </c>
    </row>
    <row r="23" customFormat="false" ht="12.75" hidden="false" customHeight="false" outlineLevel="0" collapsed="false">
      <c r="A23" s="195" t="s">
        <v>74</v>
      </c>
      <c r="B23" s="196" t="n">
        <v>1</v>
      </c>
      <c r="C23" s="197"/>
      <c r="D23" s="198" t="str">
        <f aca="false">IF(ISERROR(VLOOKUP($A23,'[1]liste reference'!$A$7:$D$906,2,0)),IF(ISERROR(VLOOKUP($A23,'[1]liste reference'!$B$7:$D$906,1,0)),"",VLOOKUP($A23,'[1]liste reference'!$B$7:$D$906,1,0)),VLOOKUP($A23,'[1]liste reference'!$A$7:$D$906,2,0))</f>
        <v>Audouinella sp.</v>
      </c>
      <c r="E23" s="198" t="e">
        <f aca="false">IF(D23="",0,VLOOKUP(D23,D$22:D22,1,0))</f>
        <v>#N/A</v>
      </c>
      <c r="F23" s="199" t="n">
        <f aca="false">($B23*$B$7+$C23*$C$7)/100</f>
        <v>0.54</v>
      </c>
      <c r="G23" s="200" t="str">
        <f aca="false">IF(A23="","",IF(ISERROR(VLOOKUP($A23,'[1]liste reference'!$A$7:$P$906,13,0)),IF(ISERROR(VLOOKUP($A23,'[1]liste reference'!$B$7:$P$906,12,0)),"    -",VLOOKUP($A23,'[1]liste reference'!$B$7:$P$906,12,0)),VLOOKUP($A23,'[1]liste reference'!$A$7:$P$906,13,0)))</f>
        <v>ALG</v>
      </c>
      <c r="H23" s="201" t="n">
        <f aca="false">IF(A23="","x",IF(ISERROR(VLOOKUP($A23,'[1]liste reference'!$A$7:$P$906,14,0)),IF(ISERROR(VLOOKUP($A23,'[1]liste reference'!$B$7:$P$906,13,0)),"x",VLOOKUP($A23,'[1]liste reference'!$B$7:$P$906,13,0)),VLOOKUP($A23,'[1]liste reference'!$A$7:$P$906,14,0)))</f>
        <v>2</v>
      </c>
      <c r="I23" s="202" t="n">
        <f aca="false">IF(ISNUMBER(H23),IF(ISERROR(VLOOKUP($A23,'[1]liste reference'!$A$7:$P$906,3,0)),IF(ISERROR(VLOOKUP($A23,'[1]liste reference'!$B$7:$P$906,2,0)),"",VLOOKUP($A23,'[1]liste reference'!$B$7:$P$906,2,0)),VLOOKUP($A23,'[1]liste reference'!$A$7:$P$906,3,0)),"")</f>
        <v>13</v>
      </c>
      <c r="J23" s="203" t="n">
        <f aca="false">IF(ISNUMBER(H23),IF(ISERROR(VLOOKUP($A23,'[1]liste reference'!$A$7:$P$906,4,0)),IF(ISERROR(VLOOKUP($A23,'[1]liste reference'!$B$7:$P$906,3,0)),"",VLOOKUP($A23,'[1]liste reference'!$B$7:$P$906,3,0)),VLOOKUP($A23,'[1]liste reference'!$A$7:$P$906,4,0)),"")</f>
        <v>2</v>
      </c>
      <c r="K23" s="204" t="str">
        <f aca="false">IF(A23="NEW.COD",AA23,IF(ISTEXT($E23),"DEJA SAISI !",IF(A23="","",IF(ISERROR(VLOOKUP($A23,'[1]liste reference'!$A$7:$D$906,2,0)),IF(ISERROR(VLOOKUP($A23,'[1]liste reference'!$B$7:$D$906,1,0)),"code non répertorié ou synonyme",VLOOKUP($A23,'[1]liste reference'!$B$7:$D$906,1,0)),VLOOKUP(A23,'[1]liste reference'!$A$7:$D$906,2,0)))))</f>
        <v>Audouinella sp.</v>
      </c>
      <c r="L23" s="205"/>
      <c r="M23" s="205"/>
      <c r="N23" s="205"/>
      <c r="O23" s="206"/>
      <c r="P23" s="207" t="n">
        <f aca="false">IF(ISTEXT(H23),"",(B23*$B$7/100)+(C23*$C$7/100))</f>
        <v>0.54</v>
      </c>
      <c r="Q23" s="208" t="n">
        <f aca="false">IF(OR(ISTEXT(H23),P23=0),"",IF(P23&lt;0.1,1,IF(P23&lt;1,2,IF(P23&lt;10,3,IF(P23&lt;50,4,IF(P23&gt;=50,5,""))))))</f>
        <v>2</v>
      </c>
      <c r="R23" s="208" t="n">
        <f aca="false">IF(ISERROR(Q23*I23),0,Q23*I23)</f>
        <v>26</v>
      </c>
      <c r="S23" s="208" t="n">
        <f aca="false">IF(ISERROR(Q23*I23*J23),0,Q23*I23*J23)</f>
        <v>52</v>
      </c>
      <c r="T23" s="208" t="n">
        <f aca="false">IF(ISERROR(Q23*J23),0,Q23*J23)</f>
        <v>4</v>
      </c>
      <c r="U23" s="209" t="str">
        <f aca="false">IF(AND(A23="",F23=0),"",IF(F23=0,"Il manque le(s) % de rec. !",""))</f>
        <v/>
      </c>
      <c r="V23" s="210"/>
      <c r="W23" s="210"/>
      <c r="X23" s="211" t="str">
        <f aca="false">IF(A23="new.cod","NEW.COD",IF(AND((Y23=""),ISTEXT(A23)),A23,IF(Y23="","",INDEX('[1]liste reference'!$A$7:$A$906,Y23))))</f>
        <v>AUD.SPX</v>
      </c>
      <c r="Y23" s="9" t="n">
        <f aca="false">IF(ISERROR(MATCH(A23,'[1]liste reference'!$A$7:$A$906,0)),IF(ISERROR(MATCH(A23,'[1]liste reference'!$B$7:$B$906,0)),"",(MATCH(A23,'[1]liste reference'!$B$7:$B$906,0))),(MATCH(A23,'[1]liste reference'!$A$7:$A$906,0)))</f>
        <v>6</v>
      </c>
      <c r="Z23" s="212"/>
      <c r="AA23" s="213"/>
      <c r="BB23" s="9" t="n">
        <f aca="false">IF(A23="","",1)</f>
        <v>1</v>
      </c>
    </row>
    <row r="24" customFormat="false" ht="12.75" hidden="false" customHeight="false" outlineLevel="0" collapsed="false">
      <c r="A24" s="214" t="s">
        <v>15</v>
      </c>
      <c r="B24" s="215" t="n">
        <v>9</v>
      </c>
      <c r="C24" s="216" t="n">
        <v>0.25</v>
      </c>
      <c r="D24" s="217" t="str">
        <f aca="false">IF(ISERROR(VLOOKUP($A24,'[1]liste reference'!$A$7:$D$906,2,0)),IF(ISERROR(VLOOKUP($A24,'[1]liste reference'!$B$7:$D$906,1,0)),"",VLOOKUP($A24,'[1]liste reference'!$B$7:$D$906,1,0)),VLOOKUP($A24,'[1]liste reference'!$A$7:$D$906,2,0))</f>
        <v>Lemanea gr. fluviatilis</v>
      </c>
      <c r="E24" s="217" t="e">
        <f aca="false">IF(D24="",0,VLOOKUP(D24,D$22:D23,1,0))</f>
        <v>#N/A</v>
      </c>
      <c r="F24" s="218" t="n">
        <f aca="false">($B24*$B$7+$C24*$C$7)/100</f>
        <v>4.975</v>
      </c>
      <c r="G24" s="219" t="str">
        <f aca="false">IF(A24="","",IF(ISERROR(VLOOKUP($A24,'[1]liste reference'!$A$7:$P$906,13,0)),IF(ISERROR(VLOOKUP($A24,'[1]liste reference'!$B$7:$P$906,12,0)),"    -",VLOOKUP($A24,'[1]liste reference'!$B$7:$P$906,12,0)),VLOOKUP($A24,'[1]liste reference'!$A$7:$P$906,13,0)))</f>
        <v>ALG</v>
      </c>
      <c r="H24" s="201" t="n">
        <f aca="false">IF(A24="","x",IF(ISERROR(VLOOKUP($A24,'[1]liste reference'!$A$7:$P$906,14,0)),IF(ISERROR(VLOOKUP($A24,'[1]liste reference'!$B$7:$P$906,13,0)),"x",VLOOKUP($A24,'[1]liste reference'!$B$7:$P$906,13,0)),VLOOKUP($A24,'[1]liste reference'!$A$7:$P$906,14,0)))</f>
        <v>2</v>
      </c>
      <c r="I24" s="220" t="n">
        <f aca="false">IF(ISNUMBER(H24),IF(ISERROR(VLOOKUP($A24,'[1]liste reference'!$A$7:$P$906,3,0)),IF(ISERROR(VLOOKUP($A24,'[1]liste reference'!$B$7:$P$906,2,0)),"",VLOOKUP($A24,'[1]liste reference'!$B$7:$P$906,2,0)),VLOOKUP($A24,'[1]liste reference'!$A$7:$P$906,3,0)),"")</f>
        <v>15</v>
      </c>
      <c r="J24" s="203" t="n">
        <f aca="false">IF(ISNUMBER(H24),IF(ISERROR(VLOOKUP($A24,'[1]liste reference'!$A$7:$P$906,4,0)),IF(ISERROR(VLOOKUP($A24,'[1]liste reference'!$B$7:$P$906,3,0)),"",VLOOKUP($A24,'[1]liste reference'!$B$7:$P$906,3,0)),VLOOKUP($A24,'[1]liste reference'!$A$7:$P$906,4,0)),"")</f>
        <v>2</v>
      </c>
      <c r="K24" s="221" t="str">
        <f aca="false">IF(A24="NEW.COD",AA24,IF(ISTEXT($E24),"DEJA SAISI !",IF(A24="","",IF(ISERROR(VLOOKUP($A24,'[1]liste reference'!$A$7:$D$906,2,0)),IF(ISERROR(VLOOKUP($A24,'[1]liste reference'!$B$7:$D$906,1,0)),"code non répertorié ou synonyme",VLOOKUP($A24,'[1]liste reference'!$B$7:$D$906,1,0)),VLOOKUP(A24,'[1]liste reference'!$A$7:$D$906,2,0)))))</f>
        <v>Lemanea gr. fluviatilis</v>
      </c>
      <c r="L24" s="222"/>
      <c r="M24" s="222"/>
      <c r="N24" s="222"/>
      <c r="O24" s="206"/>
      <c r="P24" s="207" t="n">
        <f aca="false">IF(ISTEXT(H24),"",(B24*$B$7/100)+(C24*$C$7/100))</f>
        <v>4.975</v>
      </c>
      <c r="Q24" s="208" t="n">
        <f aca="false">IF(OR(ISTEXT(H24),P24=0),"",IF(P24&lt;0.1,1,IF(P24&lt;1,2,IF(P24&lt;10,3,IF(P24&lt;50,4,IF(P24&gt;=50,5,""))))))</f>
        <v>3</v>
      </c>
      <c r="R24" s="208" t="n">
        <f aca="false">IF(ISERROR(Q24*I24),0,Q24*I24)</f>
        <v>45</v>
      </c>
      <c r="S24" s="208" t="n">
        <f aca="false">IF(ISERROR(Q24*I24*J24),0,Q24*I24*J24)</f>
        <v>90</v>
      </c>
      <c r="T24" s="223" t="n">
        <f aca="false">IF(ISERROR(Q24*J24),0,Q24*J24)</f>
        <v>6</v>
      </c>
      <c r="U24" s="209" t="str">
        <f aca="false">IF(AND(A24="",F24=0),"",IF(F24=0,"Il manque le(s) % de rec. !",""))</f>
        <v/>
      </c>
      <c r="V24" s="210"/>
      <c r="X24" s="211" t="str">
        <f aca="false">IF(A24="new.cod","NEW.COD",IF(AND((Y24=""),ISTEXT(A24)),A24,IF(Y24="","",INDEX('[1]liste reference'!$A$7:$A$906,Y24))))</f>
        <v>LEA.SPX</v>
      </c>
      <c r="Y24" s="9" t="n">
        <f aca="false">IF(ISERROR(MATCH(A24,'[1]liste reference'!$A$7:$A$906,0)),IF(ISERROR(MATCH(A24,'[1]liste reference'!$B$7:$B$906,0)),"",(MATCH(A24,'[1]liste reference'!$B$7:$B$906,0))),(MATCH(A24,'[1]liste reference'!$A$7:$A$906,0)))</f>
        <v>35</v>
      </c>
      <c r="Z24" s="212"/>
      <c r="AA24" s="213"/>
      <c r="BB24" s="9" t="n">
        <f aca="false">IF(A24="","",1)</f>
        <v>1</v>
      </c>
    </row>
    <row r="25" customFormat="false" ht="12.75" hidden="false" customHeight="false" outlineLevel="0" collapsed="false">
      <c r="A25" s="214" t="s">
        <v>75</v>
      </c>
      <c r="B25" s="215" t="n">
        <v>0.2</v>
      </c>
      <c r="C25" s="216" t="n">
        <v>0.4</v>
      </c>
      <c r="D25" s="217" t="str">
        <f aca="false">IF(ISERROR(VLOOKUP($A25,'[1]liste reference'!$A$7:$D$906,2,0)),IF(ISERROR(VLOOKUP($A25,'[1]liste reference'!$B$7:$D$906,1,0)),"",VLOOKUP($A25,'[1]liste reference'!$B$7:$D$906,1,0)),VLOOKUP($A25,'[1]liste reference'!$A$7:$D$906,2,0))</f>
        <v>Melosira sp.</v>
      </c>
      <c r="E25" s="217" t="e">
        <f aca="false">IF(D25="",0,VLOOKUP(D25,D$22:D24,1,0))</f>
        <v>#N/A</v>
      </c>
      <c r="F25" s="218" t="n">
        <f aca="false">($B25*$B$7+$C25*$C$7)/100</f>
        <v>0.292</v>
      </c>
      <c r="G25" s="219" t="str">
        <f aca="false">IF(A25="","",IF(ISERROR(VLOOKUP($A25,'[1]liste reference'!$A$7:$P$906,13,0)),IF(ISERROR(VLOOKUP($A25,'[1]liste reference'!$B$7:$P$906,12,0)),"    -",VLOOKUP($A25,'[1]liste reference'!$B$7:$P$906,12,0)),VLOOKUP($A25,'[1]liste reference'!$A$7:$P$906,13,0)))</f>
        <v>ALG</v>
      </c>
      <c r="H25" s="201" t="n">
        <f aca="false">IF(A25="","x",IF(ISERROR(VLOOKUP($A25,'[1]liste reference'!$A$7:$P$906,14,0)),IF(ISERROR(VLOOKUP($A25,'[1]liste reference'!$B$7:$P$906,13,0)),"x",VLOOKUP($A25,'[1]liste reference'!$B$7:$P$906,13,0)),VLOOKUP($A25,'[1]liste reference'!$A$7:$P$906,14,0)))</f>
        <v>2</v>
      </c>
      <c r="I25" s="220" t="n">
        <f aca="false">IF(ISNUMBER(H25),IF(ISERROR(VLOOKUP($A25,'[1]liste reference'!$A$7:$P$906,3,0)),IF(ISERROR(VLOOKUP($A25,'[1]liste reference'!$B$7:$P$906,2,0)),"",VLOOKUP($A25,'[1]liste reference'!$B$7:$P$906,2,0)),VLOOKUP($A25,'[1]liste reference'!$A$7:$P$906,3,0)),"")</f>
        <v>10</v>
      </c>
      <c r="J25" s="203" t="n">
        <f aca="false">IF(ISNUMBER(H25),IF(ISERROR(VLOOKUP($A25,'[1]liste reference'!$A$7:$P$906,4,0)),IF(ISERROR(VLOOKUP($A25,'[1]liste reference'!$B$7:$P$906,3,0)),"",VLOOKUP($A25,'[1]liste reference'!$B$7:$P$906,3,0)),VLOOKUP($A25,'[1]liste reference'!$A$7:$P$906,4,0)),"")</f>
        <v>1</v>
      </c>
      <c r="K25" s="221" t="str">
        <f aca="false">IF(A25="NEW.COD",AA25,IF(ISTEXT($E25),"DEJA SAISI !",IF(A25="","",IF(ISERROR(VLOOKUP($A25,'[1]liste reference'!$A$7:$D$906,2,0)),IF(ISERROR(VLOOKUP($A25,'[1]liste reference'!$B$7:$D$906,1,0)),"code non répertorié ou synonyme",VLOOKUP($A25,'[1]liste reference'!$B$7:$D$906,1,0)),VLOOKUP(A25,'[1]liste reference'!$A$7:$D$906,2,0)))))</f>
        <v>Melosira sp.</v>
      </c>
      <c r="L25" s="222"/>
      <c r="M25" s="222"/>
      <c r="N25" s="222"/>
      <c r="O25" s="206"/>
      <c r="P25" s="207" t="n">
        <f aca="false">IF(ISTEXT(H25),"",(B25*$B$7/100)+(C25*$C$7/100))</f>
        <v>0.292</v>
      </c>
      <c r="Q25" s="208" t="n">
        <f aca="false">IF(OR(ISTEXT(H25),P25=0),"",IF(P25&lt;0.1,1,IF(P25&lt;1,2,IF(P25&lt;10,3,IF(P25&lt;50,4,IF(P25&gt;=50,5,""))))))</f>
        <v>2</v>
      </c>
      <c r="R25" s="208" t="n">
        <f aca="false">IF(ISERROR(Q25*I25),0,Q25*I25)</f>
        <v>20</v>
      </c>
      <c r="S25" s="208" t="n">
        <f aca="false">IF(ISERROR(Q25*I25*J25),0,Q25*I25*J25)</f>
        <v>20</v>
      </c>
      <c r="T25" s="223" t="n">
        <f aca="false">IF(ISERROR(Q25*J25),0,Q25*J25)</f>
        <v>2</v>
      </c>
      <c r="U25" s="209" t="str">
        <f aca="false">IF(AND(A25="",F25=0),"",IF(F25=0,"Il manque le(s) % de rec. !",""))</f>
        <v/>
      </c>
      <c r="V25" s="210"/>
      <c r="X25" s="211" t="str">
        <f aca="false">IF(A25="new.cod","NEW.COD",IF(AND((Y25=""),ISTEXT(A25)),A25,IF(Y25="","",INDEX('[1]liste reference'!$A$7:$A$906,Y25))))</f>
        <v>MEL.SPX</v>
      </c>
      <c r="Y25" s="9" t="n">
        <f aca="false">IF(ISERROR(MATCH(A25,'[1]liste reference'!$A$7:$A$906,0)),IF(ISERROR(MATCH(A25,'[1]liste reference'!$B$7:$B$906,0)),"",(MATCH(A25,'[1]liste reference'!$B$7:$B$906,0))),(MATCH(A25,'[1]liste reference'!$A$7:$A$906,0)))</f>
        <v>37</v>
      </c>
      <c r="Z25" s="212"/>
      <c r="AA25" s="213"/>
      <c r="BB25" s="9" t="n">
        <f aca="false">IF(A25="","",1)</f>
        <v>1</v>
      </c>
    </row>
    <row r="26" customFormat="false" ht="12.75" hidden="false" customHeight="false" outlineLevel="0" collapsed="false">
      <c r="A26" s="214" t="s">
        <v>76</v>
      </c>
      <c r="B26" s="215" t="n">
        <v>0.01</v>
      </c>
      <c r="C26" s="216"/>
      <c r="D26" s="217" t="str">
        <f aca="false">IF(ISERROR(VLOOKUP($A26,'[1]liste reference'!$A$7:$D$906,2,0)),IF(ISERROR(VLOOKUP($A26,'[1]liste reference'!$B$7:$D$906,1,0)),"",VLOOKUP($A26,'[1]liste reference'!$B$7:$D$906,1,0)),VLOOKUP($A26,'[1]liste reference'!$A$7:$D$906,2,0))</f>
        <v>Oedogonium sp.</v>
      </c>
      <c r="E26" s="217" t="e">
        <f aca="false">IF(D26="",0,VLOOKUP(D26,D$22:D25,1,0))</f>
        <v>#N/A</v>
      </c>
      <c r="F26" s="218" t="n">
        <f aca="false">($B26*$B$7+$C26*$C$7)/100</f>
        <v>0.0054</v>
      </c>
      <c r="G26" s="219" t="str">
        <f aca="false">IF(A26="","",IF(ISERROR(VLOOKUP($A26,'[1]liste reference'!$A$7:$P$906,13,0)),IF(ISERROR(VLOOKUP($A26,'[1]liste reference'!$B$7:$P$906,12,0)),"    -",VLOOKUP($A26,'[1]liste reference'!$B$7:$P$906,12,0)),VLOOKUP($A26,'[1]liste reference'!$A$7:$P$906,13,0)))</f>
        <v>ALG</v>
      </c>
      <c r="H26" s="201" t="n">
        <f aca="false">IF(A26="","x",IF(ISERROR(VLOOKUP($A26,'[1]liste reference'!$A$7:$P$906,14,0)),IF(ISERROR(VLOOKUP($A26,'[1]liste reference'!$B$7:$P$906,13,0)),"x",VLOOKUP($A26,'[1]liste reference'!$B$7:$P$906,13,0)),VLOOKUP($A26,'[1]liste reference'!$A$7:$P$906,14,0)))</f>
        <v>2</v>
      </c>
      <c r="I26" s="220" t="n">
        <f aca="false">IF(ISNUMBER(H26),IF(ISERROR(VLOOKUP($A26,'[1]liste reference'!$A$7:$P$906,3,0)),IF(ISERROR(VLOOKUP($A26,'[1]liste reference'!$B$7:$P$906,2,0)),"",VLOOKUP($A26,'[1]liste reference'!$B$7:$P$906,2,0)),VLOOKUP($A26,'[1]liste reference'!$A$7:$P$906,3,0)),"")</f>
        <v>6</v>
      </c>
      <c r="J26" s="203" t="n">
        <f aca="false">IF(ISNUMBER(H26),IF(ISERROR(VLOOKUP($A26,'[1]liste reference'!$A$7:$P$906,4,0)),IF(ISERROR(VLOOKUP($A26,'[1]liste reference'!$B$7:$P$906,3,0)),"",VLOOKUP($A26,'[1]liste reference'!$B$7:$P$906,3,0)),VLOOKUP($A26,'[1]liste reference'!$A$7:$P$906,4,0)),"")</f>
        <v>2</v>
      </c>
      <c r="K26" s="221" t="str">
        <f aca="false">IF(A26="NEW.COD",AA26,IF(ISTEXT($E26),"DEJA SAISI !",IF(A26="","",IF(ISERROR(VLOOKUP($A26,'[1]liste reference'!$A$7:$D$906,2,0)),IF(ISERROR(VLOOKUP($A26,'[1]liste reference'!$B$7:$D$906,1,0)),"code non répertorié ou synonyme",VLOOKUP($A26,'[1]liste reference'!$B$7:$D$906,1,0)),VLOOKUP(A26,'[1]liste reference'!$A$7:$D$906,2,0)))))</f>
        <v>Oedogonium sp.</v>
      </c>
      <c r="L26" s="222"/>
      <c r="M26" s="222"/>
      <c r="N26" s="222"/>
      <c r="O26" s="206"/>
      <c r="P26" s="207" t="n">
        <f aca="false">IF(ISTEXT(H26),"",(B26*$B$7/100)+(C26*$C$7/100))</f>
        <v>0.0054</v>
      </c>
      <c r="Q26" s="208" t="n">
        <f aca="false">IF(OR(ISTEXT(H26),P26=0),"",IF(P26&lt;0.1,1,IF(P26&lt;1,2,IF(P26&lt;10,3,IF(P26&lt;50,4,IF(P26&gt;=50,5,""))))))</f>
        <v>1</v>
      </c>
      <c r="R26" s="208" t="n">
        <f aca="false">IF(ISERROR(Q26*I26),0,Q26*I26)</f>
        <v>6</v>
      </c>
      <c r="S26" s="208" t="n">
        <f aca="false">IF(ISERROR(Q26*I26*J26),0,Q26*I26*J26)</f>
        <v>12</v>
      </c>
      <c r="T26" s="223" t="n">
        <f aca="false">IF(ISERROR(Q26*J26),0,Q26*J26)</f>
        <v>2</v>
      </c>
      <c r="U26" s="209" t="str">
        <f aca="false">IF(AND(A26="",F26=0),"",IF(F26=0,"Il manque le(s) % de rec. !",""))</f>
        <v/>
      </c>
      <c r="V26" s="210"/>
      <c r="X26" s="211" t="str">
        <f aca="false">IF(A26="new.cod","NEW.COD",IF(AND((Y26=""),ISTEXT(A26)),A26,IF(Y26="","",INDEX('[1]liste reference'!$A$7:$A$906,Y26))))</f>
        <v>OED.SPX</v>
      </c>
      <c r="Y26" s="9" t="n">
        <f aca="false">IF(ISERROR(MATCH(A26,'[1]liste reference'!$A$7:$A$906,0)),IF(ISERROR(MATCH(A26,'[1]liste reference'!$B$7:$B$906,0)),"",(MATCH(A26,'[1]liste reference'!$B$7:$B$906,0))),(MATCH(A26,'[1]liste reference'!$A$7:$A$906,0)))</f>
        <v>56</v>
      </c>
      <c r="Z26" s="212"/>
      <c r="AA26" s="213"/>
      <c r="BB26" s="9" t="n">
        <f aca="false">IF(A26="","",1)</f>
        <v>1</v>
      </c>
    </row>
    <row r="27" customFormat="false" ht="12.75" hidden="false" customHeight="false" outlineLevel="0" collapsed="false">
      <c r="A27" s="214" t="s">
        <v>77</v>
      </c>
      <c r="B27" s="215" t="n">
        <v>0.005</v>
      </c>
      <c r="C27" s="216"/>
      <c r="D27" s="217" t="str">
        <f aca="false">IF(ISERROR(VLOOKUP($A27,'[1]liste reference'!$A$7:$D$906,2,0)),IF(ISERROR(VLOOKUP($A27,'[1]liste reference'!$B$7:$D$906,1,0)),"",VLOOKUP($A27,'[1]liste reference'!$B$7:$D$906,1,0)),VLOOKUP($A27,'[1]liste reference'!$A$7:$D$906,2,0))</f>
        <v>Phormidium sp.</v>
      </c>
      <c r="E27" s="217" t="e">
        <f aca="false">IF(D27="",0,VLOOKUP(D27,D$22:D26,1,0))</f>
        <v>#N/A</v>
      </c>
      <c r="F27" s="218" t="n">
        <f aca="false">($B27*$B$7+$C27*$C$7)/100</f>
        <v>0.0027</v>
      </c>
      <c r="G27" s="219" t="str">
        <f aca="false">IF(A27="","",IF(ISERROR(VLOOKUP($A27,'[1]liste reference'!$A$7:$P$906,13,0)),IF(ISERROR(VLOOKUP($A27,'[1]liste reference'!$B$7:$P$906,12,0)),"    -",VLOOKUP($A27,'[1]liste reference'!$B$7:$P$906,12,0)),VLOOKUP($A27,'[1]liste reference'!$A$7:$P$906,13,0)))</f>
        <v>ALG</v>
      </c>
      <c r="H27" s="201" t="n">
        <f aca="false">IF(A27="","x",IF(ISERROR(VLOOKUP($A27,'[1]liste reference'!$A$7:$P$906,14,0)),IF(ISERROR(VLOOKUP($A27,'[1]liste reference'!$B$7:$P$906,13,0)),"x",VLOOKUP($A27,'[1]liste reference'!$B$7:$P$906,13,0)),VLOOKUP($A27,'[1]liste reference'!$A$7:$P$906,14,0)))</f>
        <v>2</v>
      </c>
      <c r="I27" s="220" t="n">
        <f aca="false">IF(ISNUMBER(H27),IF(ISERROR(VLOOKUP($A27,'[1]liste reference'!$A$7:$P$906,3,0)),IF(ISERROR(VLOOKUP($A27,'[1]liste reference'!$B$7:$P$906,2,0)),"",VLOOKUP($A27,'[1]liste reference'!$B$7:$P$906,2,0)),VLOOKUP($A27,'[1]liste reference'!$A$7:$P$906,3,0)),"")</f>
        <v>13</v>
      </c>
      <c r="J27" s="203" t="n">
        <f aca="false">IF(ISNUMBER(H27),IF(ISERROR(VLOOKUP($A27,'[1]liste reference'!$A$7:$P$906,4,0)),IF(ISERROR(VLOOKUP($A27,'[1]liste reference'!$B$7:$P$906,3,0)),"",VLOOKUP($A27,'[1]liste reference'!$B$7:$P$906,3,0)),VLOOKUP($A27,'[1]liste reference'!$A$7:$P$906,4,0)),"")</f>
        <v>2</v>
      </c>
      <c r="K27" s="221" t="str">
        <f aca="false">IF(A27="NEW.COD",AA27,IF(ISTEXT($E27),"DEJA SAISI !",IF(A27="","",IF(ISERROR(VLOOKUP($A27,'[1]liste reference'!$A$7:$D$906,2,0)),IF(ISERROR(VLOOKUP($A27,'[1]liste reference'!$B$7:$D$906,1,0)),"code non répertorié ou synonyme",VLOOKUP($A27,'[1]liste reference'!$B$7:$D$906,1,0)),VLOOKUP(A27,'[1]liste reference'!$A$7:$D$906,2,0)))))</f>
        <v>Phormidium sp.</v>
      </c>
      <c r="L27" s="222"/>
      <c r="M27" s="222"/>
      <c r="N27" s="222"/>
      <c r="O27" s="206"/>
      <c r="P27" s="207" t="n">
        <f aca="false">IF(ISTEXT(H27),"",(B27*$B$7/100)+(C27*$C$7/100))</f>
        <v>0.0027</v>
      </c>
      <c r="Q27" s="208" t="n">
        <f aca="false">IF(OR(ISTEXT(H27),P27=0),"",IF(P27&lt;0.1,1,IF(P27&lt;1,2,IF(P27&lt;10,3,IF(P27&lt;50,4,IF(P27&gt;=50,5,""))))))</f>
        <v>1</v>
      </c>
      <c r="R27" s="208" t="n">
        <f aca="false">IF(ISERROR(Q27*I27),0,Q27*I27)</f>
        <v>13</v>
      </c>
      <c r="S27" s="208" t="n">
        <f aca="false">IF(ISERROR(Q27*I27*J27),0,Q27*I27*J27)</f>
        <v>26</v>
      </c>
      <c r="T27" s="223" t="n">
        <f aca="false">IF(ISERROR(Q27*J27),0,Q27*J27)</f>
        <v>2</v>
      </c>
      <c r="U27" s="209" t="str">
        <f aca="false">IF(AND(A27="",F27=0),"",IF(F27=0,"Il manque le(s) % de rec. !",""))</f>
        <v/>
      </c>
      <c r="V27" s="210"/>
      <c r="X27" s="211" t="str">
        <f aca="false">IF(A27="new.cod","NEW.COD",IF(AND((Y27=""),ISTEXT(A27)),A27,IF(Y27="","",INDEX('[1]liste reference'!$A$7:$A$906,Y27))))</f>
        <v>PHO.SPX</v>
      </c>
      <c r="Y27" s="9" t="n">
        <f aca="false">IF(ISERROR(MATCH(A27,'[1]liste reference'!$A$7:$A$906,0)),IF(ISERROR(MATCH(A27,'[1]liste reference'!$B$7:$B$906,0)),"",(MATCH(A27,'[1]liste reference'!$B$7:$B$906,0))),(MATCH(A27,'[1]liste reference'!$A$7:$A$906,0)))</f>
        <v>58</v>
      </c>
      <c r="Z27" s="212"/>
      <c r="AA27" s="213"/>
      <c r="BB27" s="9" t="n">
        <f aca="false">IF(A27="","",1)</f>
        <v>1</v>
      </c>
    </row>
    <row r="28" customFormat="false" ht="12.75" hidden="false" customHeight="false" outlineLevel="0" collapsed="false">
      <c r="A28" s="214" t="s">
        <v>78</v>
      </c>
      <c r="B28" s="215" t="n">
        <v>0.005</v>
      </c>
      <c r="C28" s="216"/>
      <c r="D28" s="217" t="str">
        <f aca="false">IF(ISERROR(VLOOKUP($A28,'[1]liste reference'!$A$7:$D$906,2,0)),IF(ISERROR(VLOOKUP($A28,'[1]liste reference'!$B$7:$D$906,1,0)),"",VLOOKUP($A28,'[1]liste reference'!$B$7:$D$906,1,0)),VLOOKUP($A28,'[1]liste reference'!$A$7:$D$906,2,0))</f>
        <v>Tetraspora sp.       </v>
      </c>
      <c r="E28" s="217" t="e">
        <f aca="false">IF(D28="",0,VLOOKUP(D28,D$22:D27,1,0))</f>
        <v>#N/A</v>
      </c>
      <c r="F28" s="218" t="n">
        <f aca="false">($B28*$B$7+$C28*$C$7)/100</f>
        <v>0.0027</v>
      </c>
      <c r="G28" s="219" t="str">
        <f aca="false">IF(A28="","",IF(ISERROR(VLOOKUP($A28,'[1]liste reference'!$A$7:$P$906,13,0)),IF(ISERROR(VLOOKUP($A28,'[1]liste reference'!$B$7:$P$906,12,0)),"    -",VLOOKUP($A28,'[1]liste reference'!$B$7:$P$906,12,0)),VLOOKUP($A28,'[1]liste reference'!$A$7:$P$906,13,0)))</f>
        <v>ALG</v>
      </c>
      <c r="H28" s="201" t="n">
        <f aca="false">IF(A28="","x",IF(ISERROR(VLOOKUP($A28,'[1]liste reference'!$A$7:$P$906,14,0)),IF(ISERROR(VLOOKUP($A28,'[1]liste reference'!$B$7:$P$906,13,0)),"x",VLOOKUP($A28,'[1]liste reference'!$B$7:$P$906,13,0)),VLOOKUP($A28,'[1]liste reference'!$A$7:$P$906,14,0)))</f>
        <v>2</v>
      </c>
      <c r="I28" s="220" t="n">
        <f aca="false">IF(ISNUMBER(H28),IF(ISERROR(VLOOKUP($A28,'[1]liste reference'!$A$7:$P$906,3,0)),IF(ISERROR(VLOOKUP($A28,'[1]liste reference'!$B$7:$P$906,2,0)),"",VLOOKUP($A28,'[1]liste reference'!$B$7:$P$906,2,0)),VLOOKUP($A28,'[1]liste reference'!$A$7:$P$906,3,0)),"")</f>
        <v>12</v>
      </c>
      <c r="J28" s="203" t="n">
        <f aca="false">IF(ISNUMBER(H28),IF(ISERROR(VLOOKUP($A28,'[1]liste reference'!$A$7:$P$906,4,0)),IF(ISERROR(VLOOKUP($A28,'[1]liste reference'!$B$7:$P$906,3,0)),"",VLOOKUP($A28,'[1]liste reference'!$B$7:$P$906,3,0)),VLOOKUP($A28,'[1]liste reference'!$A$7:$P$906,4,0)),"")</f>
        <v>1</v>
      </c>
      <c r="K28" s="221" t="str">
        <f aca="false">IF(A28="NEW.COD",AA28,IF(ISTEXT($E28),"DEJA SAISI !",IF(A28="","",IF(ISERROR(VLOOKUP($A28,'[1]liste reference'!$A$7:$D$906,2,0)),IF(ISERROR(VLOOKUP($A28,'[1]liste reference'!$B$7:$D$906,1,0)),"code non répertorié ou synonyme",VLOOKUP($A28,'[1]liste reference'!$B$7:$D$906,1,0)),VLOOKUP(A28,'[1]liste reference'!$A$7:$D$906,2,0)))))</f>
        <v>Tetraspora sp.       </v>
      </c>
      <c r="L28" s="222"/>
      <c r="M28" s="222"/>
      <c r="N28" s="222"/>
      <c r="O28" s="206"/>
      <c r="P28" s="207" t="n">
        <f aca="false">IF(ISTEXT(H28),"",(B28*$B$7/100)+(C28*$C$7/100))</f>
        <v>0.0027</v>
      </c>
      <c r="Q28" s="208" t="n">
        <f aca="false">IF(OR(ISTEXT(H28),P28=0),"",IF(P28&lt;0.1,1,IF(P28&lt;1,2,IF(P28&lt;10,3,IF(P28&lt;50,4,IF(P28&gt;=50,5,""))))))</f>
        <v>1</v>
      </c>
      <c r="R28" s="208" t="n">
        <f aca="false">IF(ISERROR(Q28*I28),0,Q28*I28)</f>
        <v>12</v>
      </c>
      <c r="S28" s="208" t="n">
        <f aca="false">IF(ISERROR(Q28*I28*J28),0,Q28*I28*J28)</f>
        <v>12</v>
      </c>
      <c r="T28" s="223" t="n">
        <f aca="false">IF(ISERROR(Q28*J28),0,Q28*J28)</f>
        <v>1</v>
      </c>
      <c r="U28" s="209" t="str">
        <f aca="false">IF(AND(A28="",F28=0),"",IF(F28=0,"Il manque le(s) % de rec. !",""))</f>
        <v/>
      </c>
      <c r="V28" s="210"/>
      <c r="X28" s="211" t="str">
        <f aca="false">IF(A28="new.cod","NEW.COD",IF(AND((Y28=""),ISTEXT(A28)),A28,IF(Y28="","",INDEX('[1]liste reference'!$A$7:$A$906,Y28))))</f>
        <v>TET.SPX</v>
      </c>
      <c r="Y28" s="9" t="n">
        <f aca="false">IF(ISERROR(MATCH(A28,'[1]liste reference'!$A$7:$A$906,0)),IF(ISERROR(MATCH(A28,'[1]liste reference'!$B$7:$B$906,0)),"",(MATCH(A28,'[1]liste reference'!$B$7:$B$906,0))),(MATCH(A28,'[1]liste reference'!$A$7:$A$906,0)))</f>
        <v>74</v>
      </c>
      <c r="Z28" s="212"/>
      <c r="AA28" s="213"/>
      <c r="BB28" s="9" t="n">
        <f aca="false">IF(A28="","",1)</f>
        <v>1</v>
      </c>
    </row>
    <row r="29" customFormat="false" ht="12.75" hidden="false" customHeight="false" outlineLevel="0" collapsed="false">
      <c r="A29" s="214" t="s">
        <v>79</v>
      </c>
      <c r="B29" s="215" t="n">
        <v>0.005</v>
      </c>
      <c r="C29" s="216" t="n">
        <v>0.005</v>
      </c>
      <c r="D29" s="217" t="str">
        <f aca="false">IF(ISERROR(VLOOKUP($A29,'[1]liste reference'!$A$7:$D$906,2,0)),IF(ISERROR(VLOOKUP($A29,'[1]liste reference'!$B$7:$D$906,1,0)),"",VLOOKUP($A29,'[1]liste reference'!$B$7:$D$906,1,0)),VLOOKUP($A29,'[1]liste reference'!$A$7:$D$906,2,0))</f>
        <v>Amblystegium fluviatile (Hygroamblystegium fluviatile)</v>
      </c>
      <c r="E29" s="217" t="e">
        <f aca="false">IF(D29="",0,VLOOKUP(D29,D$22:D28,1,0))</f>
        <v>#N/A</v>
      </c>
      <c r="F29" s="218" t="n">
        <f aca="false">($B29*$B$7+$C29*$C$7)/100</f>
        <v>0.005</v>
      </c>
      <c r="G29" s="219" t="str">
        <f aca="false">IF(A29="","",IF(ISERROR(VLOOKUP($A29,'[1]liste reference'!$A$7:$P$906,13,0)),IF(ISERROR(VLOOKUP($A29,'[1]liste reference'!$B$7:$P$906,12,0)),"    -",VLOOKUP($A29,'[1]liste reference'!$B$7:$P$906,12,0)),VLOOKUP($A29,'[1]liste reference'!$A$7:$P$906,13,0)))</f>
        <v>BRm</v>
      </c>
      <c r="H29" s="201" t="n">
        <f aca="false">IF(A29="","x",IF(ISERROR(VLOOKUP($A29,'[1]liste reference'!$A$7:$P$906,14,0)),IF(ISERROR(VLOOKUP($A29,'[1]liste reference'!$B$7:$P$906,13,0)),"x",VLOOKUP($A29,'[1]liste reference'!$B$7:$P$906,13,0)),VLOOKUP($A29,'[1]liste reference'!$A$7:$P$906,14,0)))</f>
        <v>5</v>
      </c>
      <c r="I29" s="220" t="n">
        <f aca="false">IF(ISNUMBER(H29),IF(ISERROR(VLOOKUP($A29,'[1]liste reference'!$A$7:$P$906,3,0)),IF(ISERROR(VLOOKUP($A29,'[1]liste reference'!$B$7:$P$906,2,0)),"",VLOOKUP($A29,'[1]liste reference'!$B$7:$P$906,2,0)),VLOOKUP($A29,'[1]liste reference'!$A$7:$P$906,3,0)),"")</f>
        <v>11</v>
      </c>
      <c r="J29" s="203" t="n">
        <f aca="false">IF(ISNUMBER(H29),IF(ISERROR(VLOOKUP($A29,'[1]liste reference'!$A$7:$P$906,4,0)),IF(ISERROR(VLOOKUP($A29,'[1]liste reference'!$B$7:$P$906,3,0)),"",VLOOKUP($A29,'[1]liste reference'!$B$7:$P$906,3,0)),VLOOKUP($A29,'[1]liste reference'!$A$7:$P$906,4,0)),"")</f>
        <v>2</v>
      </c>
      <c r="K29" s="221" t="str">
        <f aca="false">IF(A29="NEW.COD",AA29,IF(ISTEXT($E29),"DEJA SAISI !",IF(A29="","",IF(ISERROR(VLOOKUP($A29,'[1]liste reference'!$A$7:$D$906,2,0)),IF(ISERROR(VLOOKUP($A29,'[1]liste reference'!$B$7:$D$906,1,0)),"code non répertorié ou synonyme",VLOOKUP($A29,'[1]liste reference'!$B$7:$D$906,1,0)),VLOOKUP(A29,'[1]liste reference'!$A$7:$D$906,2,0)))))</f>
        <v>Amblystegium fluviatile (Hygroamblystegium fluviatile)</v>
      </c>
      <c r="L29" s="222"/>
      <c r="M29" s="222"/>
      <c r="N29" s="222"/>
      <c r="O29" s="206"/>
      <c r="P29" s="207" t="n">
        <f aca="false">IF(ISTEXT(H29),"",(B29*$B$7/100)+(C29*$C$7/100))</f>
        <v>0.005</v>
      </c>
      <c r="Q29" s="208" t="n">
        <f aca="false">IF(OR(ISTEXT(H29),P29=0),"",IF(P29&lt;0.1,1,IF(P29&lt;1,2,IF(P29&lt;10,3,IF(P29&lt;50,4,IF(P29&gt;=50,5,""))))))</f>
        <v>1</v>
      </c>
      <c r="R29" s="208" t="n">
        <f aca="false">IF(ISERROR(Q29*I29),0,Q29*I29)</f>
        <v>11</v>
      </c>
      <c r="S29" s="208" t="n">
        <f aca="false">IF(ISERROR(Q29*I29*J29),0,Q29*I29*J29)</f>
        <v>22</v>
      </c>
      <c r="T29" s="223" t="n">
        <f aca="false">IF(ISERROR(Q29*J29),0,Q29*J29)</f>
        <v>2</v>
      </c>
      <c r="U29" s="209" t="str">
        <f aca="false">IF(AND(A29="",F29=0),"",IF(F29=0,"Il manque le(s) % de rec. !",""))</f>
        <v/>
      </c>
      <c r="V29" s="210"/>
      <c r="W29" s="210"/>
      <c r="X29" s="211" t="str">
        <f aca="false">IF(A29="new.cod","NEW.COD",IF(AND((Y29=""),ISTEXT(A29)),A29,IF(Y29="","",INDEX('[1]liste reference'!$A$7:$A$906,Y29))))</f>
        <v>AMB.FLU</v>
      </c>
      <c r="Y29" s="9" t="n">
        <f aca="false">IF(ISERROR(MATCH(A29,'[1]liste reference'!$A$7:$A$906,0)),IF(ISERROR(MATCH(A29,'[1]liste reference'!$B$7:$B$906,0)),"",(MATCH(A29,'[1]liste reference'!$B$7:$B$906,0))),(MATCH(A29,'[1]liste reference'!$A$7:$A$906,0)))</f>
        <v>148</v>
      </c>
      <c r="Z29" s="212"/>
      <c r="AA29" s="213"/>
      <c r="BB29" s="9" t="n">
        <f aca="false">IF(A29="","",1)</f>
        <v>1</v>
      </c>
    </row>
    <row r="30" customFormat="false" ht="12.75" hidden="false" customHeight="false" outlineLevel="0" collapsed="false">
      <c r="A30" s="214" t="s">
        <v>80</v>
      </c>
      <c r="B30" s="215" t="n">
        <v>0.01</v>
      </c>
      <c r="C30" s="216"/>
      <c r="D30" s="217" t="str">
        <f aca="false">IF(ISERROR(VLOOKUP($A30,'[1]liste reference'!$A$7:$D$906,2,0)),IF(ISERROR(VLOOKUP($A30,'[1]liste reference'!$B$7:$D$906,1,0)),"",VLOOKUP($A30,'[1]liste reference'!$B$7:$D$906,1,0)),VLOOKUP($A30,'[1]liste reference'!$A$7:$D$906,2,0))</f>
        <v>Amblystegium riparium (Leptodictyum riparium)</v>
      </c>
      <c r="E30" s="217" t="e">
        <f aca="false">IF(D30="",0,VLOOKUP(D30,D$22:D29,1,0))</f>
        <v>#N/A</v>
      </c>
      <c r="F30" s="218" t="n">
        <f aca="false">($B30*$B$7+$C30*$C$7)/100</f>
        <v>0.0054</v>
      </c>
      <c r="G30" s="219" t="str">
        <f aca="false">IF(A30="","",IF(ISERROR(VLOOKUP($A30,'[1]liste reference'!$A$7:$P$906,13,0)),IF(ISERROR(VLOOKUP($A30,'[1]liste reference'!$B$7:$P$906,12,0)),"    -",VLOOKUP($A30,'[1]liste reference'!$B$7:$P$906,12,0)),VLOOKUP($A30,'[1]liste reference'!$A$7:$P$906,13,0)))</f>
        <v>BRm</v>
      </c>
      <c r="H30" s="201" t="n">
        <f aca="false">IF(A30="","x",IF(ISERROR(VLOOKUP($A30,'[1]liste reference'!$A$7:$P$906,14,0)),IF(ISERROR(VLOOKUP($A30,'[1]liste reference'!$B$7:$P$906,13,0)),"x",VLOOKUP($A30,'[1]liste reference'!$B$7:$P$906,13,0)),VLOOKUP($A30,'[1]liste reference'!$A$7:$P$906,14,0)))</f>
        <v>5</v>
      </c>
      <c r="I30" s="220" t="n">
        <f aca="false">IF(ISNUMBER(H30),IF(ISERROR(VLOOKUP($A30,'[1]liste reference'!$A$7:$P$906,3,0)),IF(ISERROR(VLOOKUP($A30,'[1]liste reference'!$B$7:$P$906,2,0)),"",VLOOKUP($A30,'[1]liste reference'!$B$7:$P$906,2,0)),VLOOKUP($A30,'[1]liste reference'!$A$7:$P$906,3,0)),"")</f>
        <v>5</v>
      </c>
      <c r="J30" s="203" t="n">
        <f aca="false">IF(ISNUMBER(H30),IF(ISERROR(VLOOKUP($A30,'[1]liste reference'!$A$7:$P$906,4,0)),IF(ISERROR(VLOOKUP($A30,'[1]liste reference'!$B$7:$P$906,3,0)),"",VLOOKUP($A30,'[1]liste reference'!$B$7:$P$906,3,0)),VLOOKUP($A30,'[1]liste reference'!$A$7:$P$906,4,0)),"")</f>
        <v>2</v>
      </c>
      <c r="K30" s="221" t="str">
        <f aca="false">IF(A30="NEW.COD",AA30,IF(ISTEXT($E30),"DEJA SAISI !",IF(A30="","",IF(ISERROR(VLOOKUP($A30,'[1]liste reference'!$A$7:$D$906,2,0)),IF(ISERROR(VLOOKUP($A30,'[1]liste reference'!$B$7:$D$906,1,0)),"code non répertorié ou synonyme",VLOOKUP($A30,'[1]liste reference'!$B$7:$D$906,1,0)),VLOOKUP(A30,'[1]liste reference'!$A$7:$D$906,2,0)))))</f>
        <v>Amblystegium riparium (Leptodictyum riparium)</v>
      </c>
      <c r="L30" s="222"/>
      <c r="M30" s="222"/>
      <c r="N30" s="222"/>
      <c r="O30" s="206"/>
      <c r="P30" s="207" t="n">
        <f aca="false">IF(ISTEXT(H30),"",(B30*$B$7/100)+(C30*$C$7/100))</f>
        <v>0.0054</v>
      </c>
      <c r="Q30" s="208" t="n">
        <f aca="false">IF(OR(ISTEXT(H30),P30=0),"",IF(P30&lt;0.1,1,IF(P30&lt;1,2,IF(P30&lt;10,3,IF(P30&lt;50,4,IF(P30&gt;=50,5,""))))))</f>
        <v>1</v>
      </c>
      <c r="R30" s="208" t="n">
        <f aca="false">IF(ISERROR(Q30*I30),0,Q30*I30)</f>
        <v>5</v>
      </c>
      <c r="S30" s="208" t="n">
        <f aca="false">IF(ISERROR(Q30*I30*J30),0,Q30*I30*J30)</f>
        <v>10</v>
      </c>
      <c r="T30" s="223" t="n">
        <f aca="false">IF(ISERROR(Q30*J30),0,Q30*J30)</f>
        <v>2</v>
      </c>
      <c r="U30" s="209" t="str">
        <f aca="false">IF(AND(A30="",F30=0),"",IF(F30=0,"Il manque le(s) % de rec. !",""))</f>
        <v/>
      </c>
      <c r="V30" s="210"/>
      <c r="X30" s="211" t="str">
        <f aca="false">IF(A30="new.cod","NEW.COD",IF(AND((Y30=""),ISTEXT(A30)),A30,IF(Y30="","",INDEX('[1]liste reference'!$A$7:$A$906,Y30))))</f>
        <v>AMB.RIP</v>
      </c>
      <c r="Y30" s="9" t="n">
        <f aca="false">IF(ISERROR(MATCH(A30,'[1]liste reference'!$A$7:$A$906,0)),IF(ISERROR(MATCH(A30,'[1]liste reference'!$B$7:$B$906,0)),"",(MATCH(A30,'[1]liste reference'!$B$7:$B$906,0))),(MATCH(A30,'[1]liste reference'!$A$7:$A$906,0)))</f>
        <v>149</v>
      </c>
      <c r="Z30" s="212"/>
      <c r="AA30" s="213"/>
      <c r="BB30" s="9" t="n">
        <f aca="false">IF(A30="","",1)</f>
        <v>1</v>
      </c>
    </row>
    <row r="31" customFormat="false" ht="12.75" hidden="false" customHeight="false" outlineLevel="0" collapsed="false">
      <c r="A31" s="214" t="s">
        <v>81</v>
      </c>
      <c r="B31" s="215" t="n">
        <v>0.005</v>
      </c>
      <c r="C31" s="216"/>
      <c r="D31" s="217" t="str">
        <f aca="false">IF(ISERROR(VLOOKUP($A31,'[1]liste reference'!$A$7:$D$906,2,0)),IF(ISERROR(VLOOKUP($A31,'[1]liste reference'!$B$7:$D$906,1,0)),"",VLOOKUP($A31,'[1]liste reference'!$B$7:$D$906,1,0)),VLOOKUP($A31,'[1]liste reference'!$A$7:$D$906,2,0))</f>
        <v>Fissidens crassipes</v>
      </c>
      <c r="E31" s="217" t="e">
        <f aca="false">IF(D31="",0,VLOOKUP(D31,D$22:D30,1,0))</f>
        <v>#N/A</v>
      </c>
      <c r="F31" s="218" t="n">
        <f aca="false">($B31*$B$7+$C31*$C$7)/100</f>
        <v>0.0027</v>
      </c>
      <c r="G31" s="219" t="str">
        <f aca="false">IF(A31="","",IF(ISERROR(VLOOKUP($A31,'[1]liste reference'!$A$7:$P$906,13,0)),IF(ISERROR(VLOOKUP($A31,'[1]liste reference'!$B$7:$P$906,12,0)),"    -",VLOOKUP($A31,'[1]liste reference'!$B$7:$P$906,12,0)),VLOOKUP($A31,'[1]liste reference'!$A$7:$P$906,13,0)))</f>
        <v>BRm</v>
      </c>
      <c r="H31" s="201" t="n">
        <f aca="false">IF(A31="","x",IF(ISERROR(VLOOKUP($A31,'[1]liste reference'!$A$7:$P$906,14,0)),IF(ISERROR(VLOOKUP($A31,'[1]liste reference'!$B$7:$P$906,13,0)),"x",VLOOKUP($A31,'[1]liste reference'!$B$7:$P$906,13,0)),VLOOKUP($A31,'[1]liste reference'!$A$7:$P$906,14,0)))</f>
        <v>5</v>
      </c>
      <c r="I31" s="220" t="n">
        <f aca="false">IF(ISNUMBER(H31),IF(ISERROR(VLOOKUP($A31,'[1]liste reference'!$A$7:$P$906,3,0)),IF(ISERROR(VLOOKUP($A31,'[1]liste reference'!$B$7:$P$906,2,0)),"",VLOOKUP($A31,'[1]liste reference'!$B$7:$P$906,2,0)),VLOOKUP($A31,'[1]liste reference'!$A$7:$P$906,3,0)),"")</f>
        <v>12</v>
      </c>
      <c r="J31" s="203" t="n">
        <f aca="false">IF(ISNUMBER(H31),IF(ISERROR(VLOOKUP($A31,'[1]liste reference'!$A$7:$P$906,4,0)),IF(ISERROR(VLOOKUP($A31,'[1]liste reference'!$B$7:$P$906,3,0)),"",VLOOKUP($A31,'[1]liste reference'!$B$7:$P$906,3,0)),VLOOKUP($A31,'[1]liste reference'!$A$7:$P$906,4,0)),"")</f>
        <v>2</v>
      </c>
      <c r="K31" s="221" t="str">
        <f aca="false">IF(A31="NEW.COD",AA31,IF(ISTEXT($E31),"DEJA SAISI !",IF(A31="","",IF(ISERROR(VLOOKUP($A31,'[1]liste reference'!$A$7:$D$906,2,0)),IF(ISERROR(VLOOKUP($A31,'[1]liste reference'!$B$7:$D$906,1,0)),"code non répertorié ou synonyme",VLOOKUP($A31,'[1]liste reference'!$B$7:$D$906,1,0)),VLOOKUP(A31,'[1]liste reference'!$A$7:$D$906,2,0)))))</f>
        <v>Fissidens crassipes</v>
      </c>
      <c r="L31" s="222"/>
      <c r="M31" s="222"/>
      <c r="N31" s="222"/>
      <c r="O31" s="206"/>
      <c r="P31" s="207" t="n">
        <f aca="false">IF(ISTEXT(H31),"",(B31*$B$7/100)+(C31*$C$7/100))</f>
        <v>0.0027</v>
      </c>
      <c r="Q31" s="208" t="n">
        <f aca="false">IF(OR(ISTEXT(H31),P31=0),"",IF(P31&lt;0.1,1,IF(P31&lt;1,2,IF(P31&lt;10,3,IF(P31&lt;50,4,IF(P31&gt;=50,5,""))))))</f>
        <v>1</v>
      </c>
      <c r="R31" s="208" t="n">
        <f aca="false">IF(ISERROR(Q31*I31),0,Q31*I31)</f>
        <v>12</v>
      </c>
      <c r="S31" s="208" t="n">
        <f aca="false">IF(ISERROR(Q31*I31*J31),0,Q31*I31*J31)</f>
        <v>24</v>
      </c>
      <c r="T31" s="223" t="n">
        <f aca="false">IF(ISERROR(Q31*J31),0,Q31*J31)</f>
        <v>2</v>
      </c>
      <c r="U31" s="209" t="str">
        <f aca="false">IF(AND(A31="",F31=0),"",IF(F31=0,"Il manque le(s) % de rec. !",""))</f>
        <v/>
      </c>
      <c r="V31" s="210"/>
      <c r="X31" s="211" t="str">
        <f aca="false">IF(A31="new.cod","NEW.COD",IF(AND((Y31=""),ISTEXT(A31)),A31,IF(Y31="","",INDEX('[1]liste reference'!$A$7:$A$906,Y31))))</f>
        <v>FIS.CRA</v>
      </c>
      <c r="Y31" s="9" t="n">
        <f aca="false">IF(ISERROR(MATCH(A31,'[1]liste reference'!$A$7:$A$906,0)),IF(ISERROR(MATCH(A31,'[1]liste reference'!$B$7:$B$906,0)),"",(MATCH(A31,'[1]liste reference'!$B$7:$B$906,0))),(MATCH(A31,'[1]liste reference'!$A$7:$A$906,0)))</f>
        <v>198</v>
      </c>
      <c r="Z31" s="212"/>
      <c r="AA31" s="213"/>
      <c r="BB31" s="9" t="n">
        <f aca="false">IF(A31="","",1)</f>
        <v>1</v>
      </c>
    </row>
    <row r="32" customFormat="false" ht="12.75" hidden="false" customHeight="false" outlineLevel="0" collapsed="false">
      <c r="A32" s="214" t="s">
        <v>82</v>
      </c>
      <c r="B32" s="215" t="n">
        <v>0.01</v>
      </c>
      <c r="C32" s="216"/>
      <c r="D32" s="217" t="str">
        <f aca="false">IF(ISERROR(VLOOKUP($A32,'[1]liste reference'!$A$7:$D$906,2,0)),IF(ISERROR(VLOOKUP($A32,'[1]liste reference'!$B$7:$D$906,1,0)),"",VLOOKUP($A32,'[1]liste reference'!$B$7:$D$906,1,0)),VLOOKUP($A32,'[1]liste reference'!$A$7:$D$906,2,0))</f>
        <v>Rhynchostegium riparioides (Platyhypnidium rusciforme)</v>
      </c>
      <c r="E32" s="217" t="e">
        <f aca="false">IF(D32="",0,VLOOKUP(D32,D$22:D31,1,0))</f>
        <v>#N/A</v>
      </c>
      <c r="F32" s="218" t="n">
        <f aca="false">($B32*$B$7+$C32*$C$7)/100</f>
        <v>0.0054</v>
      </c>
      <c r="G32" s="219" t="str">
        <f aca="false">IF(A32="","",IF(ISERROR(VLOOKUP($A32,'[1]liste reference'!$A$7:$P$906,13,0)),IF(ISERROR(VLOOKUP($A32,'[1]liste reference'!$B$7:$P$906,12,0)),"    -",VLOOKUP($A32,'[1]liste reference'!$B$7:$P$906,12,0)),VLOOKUP($A32,'[1]liste reference'!$A$7:$P$906,13,0)))</f>
        <v>BRm</v>
      </c>
      <c r="H32" s="201" t="n">
        <f aca="false">IF(A32="","x",IF(ISERROR(VLOOKUP($A32,'[1]liste reference'!$A$7:$P$906,14,0)),IF(ISERROR(VLOOKUP($A32,'[1]liste reference'!$B$7:$P$906,13,0)),"x",VLOOKUP($A32,'[1]liste reference'!$B$7:$P$906,13,0)),VLOOKUP($A32,'[1]liste reference'!$A$7:$P$906,14,0)))</f>
        <v>5</v>
      </c>
      <c r="I32" s="220" t="n">
        <f aca="false">IF(ISNUMBER(H32),IF(ISERROR(VLOOKUP($A32,'[1]liste reference'!$A$7:$P$906,3,0)),IF(ISERROR(VLOOKUP($A32,'[1]liste reference'!$B$7:$P$906,2,0)),"",VLOOKUP($A32,'[1]liste reference'!$B$7:$P$906,2,0)),VLOOKUP($A32,'[1]liste reference'!$A$7:$P$906,3,0)),"")</f>
        <v>12</v>
      </c>
      <c r="J32" s="203" t="n">
        <f aca="false">IF(ISNUMBER(H32),IF(ISERROR(VLOOKUP($A32,'[1]liste reference'!$A$7:$P$906,4,0)),IF(ISERROR(VLOOKUP($A32,'[1]liste reference'!$B$7:$P$906,3,0)),"",VLOOKUP($A32,'[1]liste reference'!$B$7:$P$906,3,0)),VLOOKUP($A32,'[1]liste reference'!$A$7:$P$906,4,0)),"")</f>
        <v>1</v>
      </c>
      <c r="K32" s="221" t="str">
        <f aca="false">IF(A32="NEW.COD",AA32,IF(ISTEXT($E32),"DEJA SAISI !",IF(A32="","",IF(ISERROR(VLOOKUP($A32,'[1]liste reference'!$A$7:$D$906,2,0)),IF(ISERROR(VLOOKUP($A32,'[1]liste reference'!$B$7:$D$906,1,0)),"code non répertorié ou synonyme",VLOOKUP($A32,'[1]liste reference'!$B$7:$D$906,1,0)),VLOOKUP(A32,'[1]liste reference'!$A$7:$D$906,2,0)))))</f>
        <v>Rhynchostegium riparioides (Platyhypnidium rusciforme)</v>
      </c>
      <c r="L32" s="222"/>
      <c r="M32" s="222"/>
      <c r="N32" s="222"/>
      <c r="O32" s="206"/>
      <c r="P32" s="207" t="n">
        <f aca="false">IF(ISTEXT(H32),"",(B32*$B$7/100)+(C32*$C$7/100))</f>
        <v>0.0054</v>
      </c>
      <c r="Q32" s="208" t="n">
        <f aca="false">IF(OR(ISTEXT(H32),P32=0),"",IF(P32&lt;0.1,1,IF(P32&lt;1,2,IF(P32&lt;10,3,IF(P32&lt;50,4,IF(P32&gt;=50,5,""))))))</f>
        <v>1</v>
      </c>
      <c r="R32" s="208" t="n">
        <f aca="false">IF(ISERROR(Q32*I32),0,Q32*I32)</f>
        <v>12</v>
      </c>
      <c r="S32" s="208" t="n">
        <f aca="false">IF(ISERROR(Q32*I32*J32),0,Q32*I32*J32)</f>
        <v>12</v>
      </c>
      <c r="T32" s="223" t="n">
        <f aca="false">IF(ISERROR(Q32*J32),0,Q32*J32)</f>
        <v>1</v>
      </c>
      <c r="U32" s="209" t="str">
        <f aca="false">IF(AND(A32="",F32=0),"",IF(F32=0,"Il manque le(s) % de rec. !",""))</f>
        <v/>
      </c>
      <c r="V32" s="210"/>
      <c r="X32" s="211" t="str">
        <f aca="false">IF(A32="new.cod","NEW.COD",IF(AND((Y32=""),ISTEXT(A32)),A32,IF(Y32="","",INDEX('[1]liste reference'!$A$7:$A$906,Y32))))</f>
        <v>RHY.RIP</v>
      </c>
      <c r="Y32" s="9" t="n">
        <f aca="false">IF(ISERROR(MATCH(A32,'[1]liste reference'!$A$7:$A$906,0)),IF(ISERROR(MATCH(A32,'[1]liste reference'!$B$7:$B$906,0)),"",(MATCH(A32,'[1]liste reference'!$B$7:$B$906,0))),(MATCH(A32,'[1]liste reference'!$A$7:$A$906,0)))</f>
        <v>253</v>
      </c>
      <c r="Z32" s="212"/>
      <c r="AA32" s="213"/>
      <c r="BB32" s="9" t="n">
        <f aca="false">IF(A32="","",1)</f>
        <v>1</v>
      </c>
    </row>
    <row r="33" customFormat="false" ht="12.75" hidden="false" customHeight="false" outlineLevel="0" collapsed="false">
      <c r="A33" s="214" t="s">
        <v>83</v>
      </c>
      <c r="B33" s="215"/>
      <c r="C33" s="216" t="n">
        <v>0.1</v>
      </c>
      <c r="D33" s="217" t="str">
        <f aca="false">IF(ISERROR(VLOOKUP($A33,'[1]liste reference'!$A$7:$D$906,2,0)),IF(ISERROR(VLOOKUP($A33,'[1]liste reference'!$B$7:$D$906,1,0)),"",VLOOKUP($A33,'[1]liste reference'!$B$7:$D$906,1,0)),VLOOKUP($A33,'[1]liste reference'!$A$7:$D$906,2,0))</f>
        <v>Lemna minor</v>
      </c>
      <c r="E33" s="217" t="e">
        <f aca="false">IF(D33="",0,VLOOKUP(D33,D$22:D32,1,0))</f>
        <v>#N/A</v>
      </c>
      <c r="F33" s="218" t="n">
        <f aca="false">($B33*$B$7+$C33*$C$7)/100</f>
        <v>0.046</v>
      </c>
      <c r="G33" s="219" t="str">
        <f aca="false">IF(A33="","",IF(ISERROR(VLOOKUP($A33,'[1]liste reference'!$A$7:$P$906,13,0)),IF(ISERROR(VLOOKUP($A33,'[1]liste reference'!$B$7:$P$906,12,0)),"    -",VLOOKUP($A33,'[1]liste reference'!$B$7:$P$906,12,0)),VLOOKUP($A33,'[1]liste reference'!$A$7:$P$906,13,0)))</f>
        <v>PHy</v>
      </c>
      <c r="H33" s="201" t="n">
        <f aca="false">IF(A33="","x",IF(ISERROR(VLOOKUP($A33,'[1]liste reference'!$A$7:$P$906,14,0)),IF(ISERROR(VLOOKUP($A33,'[1]liste reference'!$B$7:$P$906,13,0)),"x",VLOOKUP($A33,'[1]liste reference'!$B$7:$P$906,13,0)),VLOOKUP($A33,'[1]liste reference'!$A$7:$P$906,14,0)))</f>
        <v>7</v>
      </c>
      <c r="I33" s="220" t="n">
        <f aca="false">IF(ISNUMBER(H33),IF(ISERROR(VLOOKUP($A33,'[1]liste reference'!$A$7:$P$906,3,0)),IF(ISERROR(VLOOKUP($A33,'[1]liste reference'!$B$7:$P$906,2,0)),"",VLOOKUP($A33,'[1]liste reference'!$B$7:$P$906,2,0)),VLOOKUP($A33,'[1]liste reference'!$A$7:$P$906,3,0)),"")</f>
        <v>10</v>
      </c>
      <c r="J33" s="203" t="n">
        <f aca="false">IF(ISNUMBER(H33),IF(ISERROR(VLOOKUP($A33,'[1]liste reference'!$A$7:$P$906,4,0)),IF(ISERROR(VLOOKUP($A33,'[1]liste reference'!$B$7:$P$906,3,0)),"",VLOOKUP($A33,'[1]liste reference'!$B$7:$P$906,3,0)),VLOOKUP($A33,'[1]liste reference'!$A$7:$P$906,4,0)),"")</f>
        <v>1</v>
      </c>
      <c r="K33" s="221" t="str">
        <f aca="false">IF(A33="NEW.COD",AA33,IF(ISTEXT($E33),"DEJA SAISI !",IF(A33="","",IF(ISERROR(VLOOKUP($A33,'[1]liste reference'!$A$7:$D$906,2,0)),IF(ISERROR(VLOOKUP($A33,'[1]liste reference'!$B$7:$D$906,1,0)),"code non répertorié ou synonyme",VLOOKUP($A33,'[1]liste reference'!$B$7:$D$906,1,0)),VLOOKUP(A33,'[1]liste reference'!$A$7:$D$906,2,0)))))</f>
        <v>Lemna minor</v>
      </c>
      <c r="L33" s="224"/>
      <c r="M33" s="224"/>
      <c r="N33" s="224"/>
      <c r="O33" s="225"/>
      <c r="P33" s="207" t="n">
        <f aca="false">IF(ISTEXT(H33),"",(B33*$B$7/100)+(C33*$C$7/100))</f>
        <v>0.046</v>
      </c>
      <c r="Q33" s="208" t="n">
        <f aca="false">IF(OR(ISTEXT(H33),P33=0),"",IF(P33&lt;0.1,1,IF(P33&lt;1,2,IF(P33&lt;10,3,IF(P33&lt;50,4,IF(P33&gt;=50,5,""))))))</f>
        <v>1</v>
      </c>
      <c r="R33" s="208" t="n">
        <f aca="false">IF(ISERROR(Q33*I33),0,Q33*I33)</f>
        <v>10</v>
      </c>
      <c r="S33" s="208" t="n">
        <f aca="false">IF(ISERROR(Q33*I33*J33),0,Q33*I33*J33)</f>
        <v>10</v>
      </c>
      <c r="T33" s="223" t="n">
        <f aca="false">IF(ISERROR(Q33*J33),0,Q33*J33)</f>
        <v>1</v>
      </c>
      <c r="U33" s="209" t="str">
        <f aca="false">IF(AND(A33="",F33=0),"",IF(F33=0,"Il manque le(s) % de rec. !",""))</f>
        <v/>
      </c>
      <c r="V33" s="210"/>
      <c r="X33" s="211" t="str">
        <f aca="false">IF(A33="new.cod","NEW.COD",IF(AND((Y33=""),ISTEXT(A33)),A33,IF(Y33="","",INDEX('[1]liste reference'!$A$7:$A$906,Y33))))</f>
        <v>LEM.MIN</v>
      </c>
      <c r="Y33" s="9" t="n">
        <f aca="false">IF(ISERROR(MATCH(A33,'[1]liste reference'!$A$7:$A$906,0)),IF(ISERROR(MATCH(A33,'[1]liste reference'!$B$7:$B$906,0)),"",(MATCH(A33,'[1]liste reference'!$B$7:$B$906,0))),(MATCH(A33,'[1]liste reference'!$A$7:$A$906,0)))</f>
        <v>361</v>
      </c>
      <c r="Z33" s="212"/>
      <c r="AA33" s="213"/>
      <c r="BB33" s="9" t="n">
        <f aca="false">IF(A33="","",1)</f>
        <v>1</v>
      </c>
    </row>
    <row r="34" customFormat="false" ht="12.75" hidden="false" customHeight="false" outlineLevel="0" collapsed="false">
      <c r="A34" s="214" t="s">
        <v>84</v>
      </c>
      <c r="B34" s="215" t="n">
        <v>2.5</v>
      </c>
      <c r="C34" s="216" t="n">
        <v>8.2</v>
      </c>
      <c r="D34" s="217" t="str">
        <f aca="false">IF(ISERROR(VLOOKUP($A34,'[1]liste reference'!$A$7:$D$906,2,0)),IF(ISERROR(VLOOKUP($A34,'[1]liste reference'!$B$7:$D$906,1,0)),"",VLOOKUP($A34,'[1]liste reference'!$B$7:$D$906,1,0)),VLOOKUP($A34,'[1]liste reference'!$A$7:$D$906,2,0))</f>
        <v>Ranunculus peltatus</v>
      </c>
      <c r="E34" s="217" t="e">
        <f aca="false">IF(D34="",0,VLOOKUP(D34,D$22:D33,1,0))</f>
        <v>#N/A</v>
      </c>
      <c r="F34" s="226" t="n">
        <f aca="false">($B34*$B$7+$C34*$C$7)/100</f>
        <v>5.122</v>
      </c>
      <c r="G34" s="219" t="str">
        <f aca="false">IF(A34="","",IF(ISERROR(VLOOKUP($A34,'[1]liste reference'!$A$7:$P$906,13,0)),IF(ISERROR(VLOOKUP($A34,'[1]liste reference'!$B$7:$P$906,12,0)),"    -",VLOOKUP($A34,'[1]liste reference'!$B$7:$P$906,12,0)),VLOOKUP($A34,'[1]liste reference'!$A$7:$P$906,13,0)))</f>
        <v>PHy</v>
      </c>
      <c r="H34" s="201" t="n">
        <f aca="false">IF(A34="","x",IF(ISERROR(VLOOKUP($A34,'[1]liste reference'!$A$7:$P$906,14,0)),IF(ISERROR(VLOOKUP($A34,'[1]liste reference'!$B$7:$P$906,13,0)),"x",VLOOKUP($A34,'[1]liste reference'!$B$7:$P$906,13,0)),VLOOKUP($A34,'[1]liste reference'!$A$7:$P$906,14,0)))</f>
        <v>7</v>
      </c>
      <c r="I34" s="220" t="n">
        <f aca="false">IF(ISNUMBER(H34),IF(ISERROR(VLOOKUP($A34,'[1]liste reference'!$A$7:$P$906,3,0)),IF(ISERROR(VLOOKUP($A34,'[1]liste reference'!$B$7:$P$906,2,0)),"",VLOOKUP($A34,'[1]liste reference'!$B$7:$P$906,2,0)),VLOOKUP($A34,'[1]liste reference'!$A$7:$P$906,3,0)),"")</f>
        <v>12</v>
      </c>
      <c r="J34" s="203" t="n">
        <f aca="false">IF(ISNUMBER(H34),IF(ISERROR(VLOOKUP($A34,'[1]liste reference'!$A$7:$P$906,4,0)),IF(ISERROR(VLOOKUP($A34,'[1]liste reference'!$B$7:$P$906,3,0)),"",VLOOKUP($A34,'[1]liste reference'!$B$7:$P$906,3,0)),VLOOKUP($A34,'[1]liste reference'!$A$7:$P$906,4,0)),"")</f>
        <v>2</v>
      </c>
      <c r="K34" s="221" t="str">
        <f aca="false">IF(A34="NEW.COD",AA34,IF(ISTEXT($E34),"DEJA SAISI !",IF(A34="","",IF(ISERROR(VLOOKUP($A34,'[1]liste reference'!$A$7:$D$906,2,0)),IF(ISERROR(VLOOKUP($A34,'[1]liste reference'!$B$7:$D$906,1,0)),"code non répertorié ou synonyme",VLOOKUP($A34,'[1]liste reference'!$B$7:$D$906,1,0)),VLOOKUP(A34,'[1]liste reference'!$A$7:$D$906,2,0)))))</f>
        <v>Ranunculus peltatus</v>
      </c>
      <c r="L34" s="222"/>
      <c r="M34" s="222"/>
      <c r="N34" s="222"/>
      <c r="O34" s="206"/>
      <c r="P34" s="207" t="n">
        <f aca="false">IF(ISTEXT(H34),"",(B34*$B$7/100)+(C34*$C$7/100))</f>
        <v>5.122</v>
      </c>
      <c r="Q34" s="208" t="n">
        <f aca="false">IF(OR(ISTEXT(H34),P34=0),"",IF(P34&lt;0.1,1,IF(P34&lt;1,2,IF(P34&lt;10,3,IF(P34&lt;50,4,IF(P34&gt;=50,5,""))))))</f>
        <v>3</v>
      </c>
      <c r="R34" s="208" t="n">
        <f aca="false">IF(ISERROR(Q34*I34),0,Q34*I34)</f>
        <v>36</v>
      </c>
      <c r="S34" s="208" t="n">
        <f aca="false">IF(ISERROR(Q34*I34*J34),0,Q34*I34*J34)</f>
        <v>72</v>
      </c>
      <c r="T34" s="223" t="n">
        <f aca="false">IF(ISERROR(Q34*J34),0,Q34*J34)</f>
        <v>6</v>
      </c>
      <c r="U34" s="209" t="str">
        <f aca="false">IF(AND(A34="",F34=0),"",IF(F34=0,"Il manque le(s) % de rec. !",""))</f>
        <v/>
      </c>
      <c r="V34" s="210"/>
      <c r="X34" s="211" t="str">
        <f aca="false">IF(A34="new.cod","NEW.COD",IF(AND((Y34=""),ISTEXT(A34)),A34,IF(Y34="","",INDEX('[1]liste reference'!$A$7:$A$906,Y34))))</f>
        <v>RAN.PEL</v>
      </c>
      <c r="Y34" s="9" t="n">
        <f aca="false">IF(ISERROR(MATCH(A34,'[1]liste reference'!$A$7:$A$906,0)),IF(ISERROR(MATCH(A34,'[1]liste reference'!$B$7:$B$906,0)),"",(MATCH(A34,'[1]liste reference'!$B$7:$B$906,0))),(MATCH(A34,'[1]liste reference'!$A$7:$A$906,0)))</f>
        <v>464</v>
      </c>
      <c r="Z34" s="212"/>
      <c r="AA34" s="213"/>
      <c r="BB34" s="9" t="n">
        <f aca="false">IF(A34="","",1)</f>
        <v>1</v>
      </c>
    </row>
    <row r="35" customFormat="false" ht="12.75" hidden="false" customHeight="false" outlineLevel="0" collapsed="false">
      <c r="A35" s="214" t="s">
        <v>85</v>
      </c>
      <c r="B35" s="215" t="n">
        <v>0.005</v>
      </c>
      <c r="C35" s="216" t="n">
        <v>0.3</v>
      </c>
      <c r="D35" s="217" t="str">
        <f aca="false">IF(ISERROR(VLOOKUP($A35,'[1]liste reference'!$A$7:$D$906,2,0)),IF(ISERROR(VLOOKUP($A35,'[1]liste reference'!$B$7:$D$906,1,0)),"",VLOOKUP($A35,'[1]liste reference'!$B$7:$D$906,1,0)),VLOOKUP($A35,'[1]liste reference'!$A$7:$D$906,2,0))</f>
        <v>Sparganium emersum feuilles longues (&gt; 20 cm)</v>
      </c>
      <c r="E35" s="217" t="e">
        <f aca="false">IF(D35="",0,VLOOKUP(D35,D$22:D34,1,0))</f>
        <v>#N/A</v>
      </c>
      <c r="F35" s="226" t="n">
        <f aca="false">($B35*$B$7+$C35*$C$7)/100</f>
        <v>0.1407</v>
      </c>
      <c r="G35" s="219" t="str">
        <f aca="false">IF(A35="","",IF(ISERROR(VLOOKUP($A35,'[1]liste reference'!$A$7:$P$906,13,0)),IF(ISERROR(VLOOKUP($A35,'[1]liste reference'!$B$7:$P$906,12,0)),"    -",VLOOKUP($A35,'[1]liste reference'!$B$7:$P$906,12,0)),VLOOKUP($A35,'[1]liste reference'!$A$7:$P$906,13,0)))</f>
        <v>PHy</v>
      </c>
      <c r="H35" s="201" t="n">
        <f aca="false">IF(A35="","x",IF(ISERROR(VLOOKUP($A35,'[1]liste reference'!$A$7:$P$906,14,0)),IF(ISERROR(VLOOKUP($A35,'[1]liste reference'!$B$7:$P$906,13,0)),"x",VLOOKUP($A35,'[1]liste reference'!$B$7:$P$906,13,0)),VLOOKUP($A35,'[1]liste reference'!$A$7:$P$906,14,0)))</f>
        <v>7</v>
      </c>
      <c r="I35" s="220" t="n">
        <f aca="false">IF(ISNUMBER(H35),IF(ISERROR(VLOOKUP($A35,'[1]liste reference'!$A$7:$P$906,3,0)),IF(ISERROR(VLOOKUP($A35,'[1]liste reference'!$B$7:$P$906,2,0)),"",VLOOKUP($A35,'[1]liste reference'!$B$7:$P$906,2,0)),VLOOKUP($A35,'[1]liste reference'!$A$7:$P$906,3,0)),"")</f>
        <v>7</v>
      </c>
      <c r="J35" s="203" t="n">
        <f aca="false">IF(ISNUMBER(H35),IF(ISERROR(VLOOKUP($A35,'[1]liste reference'!$A$7:$P$906,4,0)),IF(ISERROR(VLOOKUP($A35,'[1]liste reference'!$B$7:$P$906,3,0)),"",VLOOKUP($A35,'[1]liste reference'!$B$7:$P$906,3,0)),VLOOKUP($A35,'[1]liste reference'!$A$7:$P$906,4,0)),"")</f>
        <v>1</v>
      </c>
      <c r="K35" s="221" t="str">
        <f aca="false">IF(A35="NEW.COD",AA35,IF(ISTEXT($E35),"DEJA SAISI !",IF(A35="","",IF(ISERROR(VLOOKUP($A35,'[1]liste reference'!$A$7:$D$906,2,0)),IF(ISERROR(VLOOKUP($A35,'[1]liste reference'!$B$7:$D$906,1,0)),"code non répertorié ou synonyme",VLOOKUP($A35,'[1]liste reference'!$B$7:$D$906,1,0)),VLOOKUP(A35,'[1]liste reference'!$A$7:$D$906,2,0)))))</f>
        <v>Sparganium emersum feuilles longues (&gt; 20 cm)</v>
      </c>
      <c r="L35" s="224"/>
      <c r="M35" s="224"/>
      <c r="N35" s="224"/>
      <c r="O35" s="225"/>
      <c r="P35" s="207" t="n">
        <f aca="false">IF(ISTEXT(H35),"",(B35*$B$7/100)+(C35*$C$7/100))</f>
        <v>0.1407</v>
      </c>
      <c r="Q35" s="208" t="n">
        <f aca="false">IF(OR(ISTEXT(H35),P35=0),"",IF(P35&lt;0.1,1,IF(P35&lt;1,2,IF(P35&lt;10,3,IF(P35&lt;50,4,IF(P35&gt;=50,5,""))))))</f>
        <v>2</v>
      </c>
      <c r="R35" s="208" t="n">
        <f aca="false">IF(ISERROR(Q35*I35),0,Q35*I35)</f>
        <v>14</v>
      </c>
      <c r="S35" s="208" t="n">
        <f aca="false">IF(ISERROR(Q35*I35*J35),0,Q35*I35*J35)</f>
        <v>14</v>
      </c>
      <c r="T35" s="223" t="n">
        <f aca="false">IF(ISERROR(Q35*J35),0,Q35*J35)</f>
        <v>2</v>
      </c>
      <c r="U35" s="209" t="str">
        <f aca="false">IF(AND(A35="",F35=0),"",IF(F35=0,"Il manque le(s) % de rec. !",""))</f>
        <v/>
      </c>
      <c r="V35" s="210"/>
      <c r="X35" s="211" t="str">
        <f aca="false">IF(A35="new.cod","NEW.COD",IF(AND((Y35=""),ISTEXT(A35)),A35,IF(Y35="","",INDEX('[1]liste reference'!$A$7:$A$906,Y35))))</f>
        <v>SPA.EML</v>
      </c>
      <c r="Y35" s="9" t="n">
        <f aca="false">IF(ISERROR(MATCH(A35,'[1]liste reference'!$A$7:$A$906,0)),IF(ISERROR(MATCH(A35,'[1]liste reference'!$B$7:$B$906,0)),"",(MATCH(A35,'[1]liste reference'!$B$7:$B$906,0))),(MATCH(A35,'[1]liste reference'!$A$7:$A$906,0)))</f>
        <v>488</v>
      </c>
      <c r="Z35" s="212"/>
      <c r="AA35" s="213"/>
      <c r="BB35" s="9" t="n">
        <f aca="false">IF(A35="","",1)</f>
        <v>1</v>
      </c>
    </row>
    <row r="36" customFormat="false" ht="12.75" hidden="false" customHeight="false" outlineLevel="0" collapsed="false">
      <c r="A36" s="214" t="s">
        <v>86</v>
      </c>
      <c r="B36" s="215" t="n">
        <v>0.005</v>
      </c>
      <c r="C36" s="216" t="n">
        <v>0.05</v>
      </c>
      <c r="D36" s="217" t="str">
        <f aca="false">IF(ISERROR(VLOOKUP($A36,'[1]liste reference'!$A$7:$D$906,2,0)),IF(ISERROR(VLOOKUP($A36,'[1]liste reference'!$B$7:$D$906,1,0)),"",VLOOKUP($A36,'[1]liste reference'!$B$7:$D$906,1,0)),VLOOKUP($A36,'[1]liste reference'!$A$7:$D$906,2,0))</f>
        <v>Carex acuta (Carex gracilis)    </v>
      </c>
      <c r="E36" s="217" t="e">
        <f aca="false">IF(D36="",0,VLOOKUP(D36,D$22:D35,1,0))</f>
        <v>#N/A</v>
      </c>
      <c r="F36" s="226" t="n">
        <f aca="false">($B36*$B$7+$C36*$C$7)/100</f>
        <v>0.0257</v>
      </c>
      <c r="G36" s="219" t="str">
        <f aca="false">IF(A36="","",IF(ISERROR(VLOOKUP($A36,'[1]liste reference'!$A$7:$P$906,13,0)),IF(ISERROR(VLOOKUP($A36,'[1]liste reference'!$B$7:$P$906,12,0)),"    -",VLOOKUP($A36,'[1]liste reference'!$B$7:$P$906,12,0)),VLOOKUP($A36,'[1]liste reference'!$A$7:$P$906,13,0)))</f>
        <v>PHe</v>
      </c>
      <c r="H36" s="201" t="n">
        <f aca="false">IF(A36="","x",IF(ISERROR(VLOOKUP($A36,'[1]liste reference'!$A$7:$P$906,14,0)),IF(ISERROR(VLOOKUP($A36,'[1]liste reference'!$B$7:$P$906,13,0)),"x",VLOOKUP($A36,'[1]liste reference'!$B$7:$P$906,13,0)),VLOOKUP($A36,'[1]liste reference'!$A$7:$P$906,14,0)))</f>
        <v>8</v>
      </c>
      <c r="I36" s="220" t="str">
        <f aca="false">IF(ISNUMBER(H36),IF(ISERROR(VLOOKUP($A36,'[1]liste reference'!$A$7:$P$906,3,0)),IF(ISERROR(VLOOKUP($A36,'[1]liste reference'!$B$7:$P$906,2,0)),"",VLOOKUP($A36,'[1]liste reference'!$B$7:$P$906,2,0)),VLOOKUP($A36,'[1]liste reference'!$A$7:$P$906,3,0)),"")</f>
        <v/>
      </c>
      <c r="J36" s="203" t="str">
        <f aca="false">IF(ISNUMBER(H36),IF(ISERROR(VLOOKUP($A36,'[1]liste reference'!$A$7:$P$906,4,0)),IF(ISERROR(VLOOKUP($A36,'[1]liste reference'!$B$7:$P$906,3,0)),"",VLOOKUP($A36,'[1]liste reference'!$B$7:$P$906,3,0)),VLOOKUP($A36,'[1]liste reference'!$A$7:$P$906,4,0)),"")</f>
        <v/>
      </c>
      <c r="K36" s="221" t="str">
        <f aca="false">IF(A36="NEW.COD",AA36,IF(ISTEXT($E36),"DEJA SAISI !",IF(A36="","",IF(ISERROR(VLOOKUP($A36,'[1]liste reference'!$A$7:$D$906,2,0)),IF(ISERROR(VLOOKUP($A36,'[1]liste reference'!$B$7:$D$906,1,0)),"code non répertorié ou synonyme",VLOOKUP($A36,'[1]liste reference'!$B$7:$D$906,1,0)),VLOOKUP(A36,'[1]liste reference'!$A$7:$D$906,2,0)))))</f>
        <v>Carex acuta (Carex gracilis)    </v>
      </c>
      <c r="L36" s="222"/>
      <c r="M36" s="222"/>
      <c r="N36" s="222"/>
      <c r="O36" s="206"/>
      <c r="P36" s="207" t="n">
        <f aca="false">IF(ISTEXT(H36),"",(B36*$B$7/100)+(C36*$C$7/100))</f>
        <v>0.0257</v>
      </c>
      <c r="Q36" s="208" t="n">
        <f aca="false">IF(OR(ISTEXT(H36),P36=0),"",IF(P36&lt;0.1,1,IF(P36&lt;1,2,IF(P36&lt;10,3,IF(P36&lt;50,4,IF(P36&gt;=50,5,""))))))</f>
        <v>1</v>
      </c>
      <c r="R36" s="208" t="n">
        <f aca="false">IF(ISERROR(Q36*I36),0,Q36*I36)</f>
        <v>0</v>
      </c>
      <c r="S36" s="208" t="n">
        <f aca="false">IF(ISERROR(Q36*I36*J36),0,Q36*I36*J36)</f>
        <v>0</v>
      </c>
      <c r="T36" s="223" t="n">
        <f aca="false">IF(ISERROR(Q36*J36),0,Q36*J36)</f>
        <v>0</v>
      </c>
      <c r="U36" s="209" t="str">
        <f aca="false">IF(AND(A36="",F36=0),"",IF(F36=0,"Il manque le(s) % de rec. !",""))</f>
        <v/>
      </c>
      <c r="V36" s="210"/>
      <c r="X36" s="211" t="str">
        <f aca="false">IF(A36="new.cod","NEW.COD",IF(AND((Y36=""),ISTEXT(A36)),A36,IF(Y36="","",INDEX('[1]liste reference'!$A$7:$A$906,Y36))))</f>
        <v>CAR.ACU</v>
      </c>
      <c r="Y36" s="9" t="n">
        <f aca="false">IF(ISERROR(MATCH(A36,'[1]liste reference'!$A$7:$A$906,0)),IF(ISERROR(MATCH(A36,'[1]liste reference'!$B$7:$B$906,0)),"",(MATCH(A36,'[1]liste reference'!$B$7:$B$906,0))),(MATCH(A36,'[1]liste reference'!$A$7:$A$906,0)))</f>
        <v>542</v>
      </c>
      <c r="Z36" s="212"/>
      <c r="AA36" s="213"/>
      <c r="BB36" s="9" t="n">
        <f aca="false">IF(A36="","",1)</f>
        <v>1</v>
      </c>
    </row>
    <row r="37" customFormat="false" ht="12.75" hidden="false" customHeight="false" outlineLevel="0" collapsed="false">
      <c r="A37" s="214" t="s">
        <v>87</v>
      </c>
      <c r="B37" s="215" t="n">
        <v>0.2</v>
      </c>
      <c r="C37" s="216" t="n">
        <v>0.5</v>
      </c>
      <c r="D37" s="217" t="str">
        <f aca="false">IF(ISERROR(VLOOKUP($A37,'[1]liste reference'!$A$7:$D$906,2,0)),IF(ISERROR(VLOOKUP($A37,'[1]liste reference'!$B$7:$D$906,1,0)),"",VLOOKUP($A37,'[1]liste reference'!$B$7:$D$906,1,0)),VLOOKUP($A37,'[1]liste reference'!$A$7:$D$906,2,0))</f>
        <v>Eleocharis palustris</v>
      </c>
      <c r="E37" s="217" t="e">
        <f aca="false">IF(D37="",0,VLOOKUP(D37,D$22:D36,1,0))</f>
        <v>#N/A</v>
      </c>
      <c r="F37" s="226" t="n">
        <f aca="false">($B37*$B$7+$C37*$C$7)/100</f>
        <v>0.338</v>
      </c>
      <c r="G37" s="219" t="str">
        <f aca="false">IF(A37="","",IF(ISERROR(VLOOKUP($A37,'[1]liste reference'!$A$7:$P$906,13,0)),IF(ISERROR(VLOOKUP($A37,'[1]liste reference'!$B$7:$P$906,12,0)),"    -",VLOOKUP($A37,'[1]liste reference'!$B$7:$P$906,12,0)),VLOOKUP($A37,'[1]liste reference'!$A$7:$P$906,13,0)))</f>
        <v>PHe</v>
      </c>
      <c r="H37" s="201" t="n">
        <f aca="false">IF(A37="","x",IF(ISERROR(VLOOKUP($A37,'[1]liste reference'!$A$7:$P$906,14,0)),IF(ISERROR(VLOOKUP($A37,'[1]liste reference'!$B$7:$P$906,13,0)),"x",VLOOKUP($A37,'[1]liste reference'!$B$7:$P$906,13,0)),VLOOKUP($A37,'[1]liste reference'!$A$7:$P$906,14,0)))</f>
        <v>8</v>
      </c>
      <c r="I37" s="220" t="n">
        <f aca="false">IF(ISNUMBER(H37),IF(ISERROR(VLOOKUP($A37,'[1]liste reference'!$A$7:$P$906,3,0)),IF(ISERROR(VLOOKUP($A37,'[1]liste reference'!$B$7:$P$906,2,0)),"",VLOOKUP($A37,'[1]liste reference'!$B$7:$P$906,2,0)),VLOOKUP($A37,'[1]liste reference'!$A$7:$P$906,3,0)),"")</f>
        <v>12</v>
      </c>
      <c r="J37" s="203" t="n">
        <f aca="false">IF(ISNUMBER(H37),IF(ISERROR(VLOOKUP($A37,'[1]liste reference'!$A$7:$P$906,4,0)),IF(ISERROR(VLOOKUP($A37,'[1]liste reference'!$B$7:$P$906,3,0)),"",VLOOKUP($A37,'[1]liste reference'!$B$7:$P$906,3,0)),VLOOKUP($A37,'[1]liste reference'!$A$7:$P$906,4,0)),"")</f>
        <v>2</v>
      </c>
      <c r="K37" s="221" t="str">
        <f aca="false">IF(A37="NEW.COD",AA37,IF(ISTEXT($E37),"DEJA SAISI !",IF(A37="","",IF(ISERROR(VLOOKUP($A37,'[1]liste reference'!$A$7:$D$906,2,0)),IF(ISERROR(VLOOKUP($A37,'[1]liste reference'!$B$7:$D$906,1,0)),"code non répertorié ou synonyme",VLOOKUP($A37,'[1]liste reference'!$B$7:$D$906,1,0)),VLOOKUP(A37,'[1]liste reference'!$A$7:$D$906,2,0)))))</f>
        <v>Eleocharis palustris</v>
      </c>
      <c r="L37" s="222"/>
      <c r="M37" s="222"/>
      <c r="N37" s="222"/>
      <c r="O37" s="206"/>
      <c r="P37" s="207" t="n">
        <f aca="false">IF(ISTEXT(H37),"",(B37*$B$7/100)+(C37*$C$7/100))</f>
        <v>0.338</v>
      </c>
      <c r="Q37" s="208" t="n">
        <f aca="false">IF(OR(ISTEXT(H37),P37=0),"",IF(P37&lt;0.1,1,IF(P37&lt;1,2,IF(P37&lt;10,3,IF(P37&lt;50,4,IF(P37&gt;=50,5,""))))))</f>
        <v>2</v>
      </c>
      <c r="R37" s="208" t="n">
        <f aca="false">IF(ISERROR(Q37*I37),0,Q37*I37)</f>
        <v>24</v>
      </c>
      <c r="S37" s="208" t="n">
        <f aca="false">IF(ISERROR(Q37*I37*J37),0,Q37*I37*J37)</f>
        <v>48</v>
      </c>
      <c r="T37" s="223" t="n">
        <f aca="false">IF(ISERROR(Q37*J37),0,Q37*J37)</f>
        <v>4</v>
      </c>
      <c r="U37" s="209" t="str">
        <f aca="false">IF(AND(A37="",F37=0),"",IF(F37=0,"Il manque le(s) % de rec. !",""))</f>
        <v/>
      </c>
      <c r="V37" s="210"/>
      <c r="X37" s="211" t="str">
        <f aca="false">IF(A37="new.cod","NEW.COD",IF(AND((Y37=""),ISTEXT(A37)),A37,IF(Y37="","",INDEX('[1]liste reference'!$A$7:$A$906,Y37))))</f>
        <v>ELE.PAL</v>
      </c>
      <c r="Y37" s="9" t="n">
        <f aca="false">IF(ISERROR(MATCH(A37,'[1]liste reference'!$A$7:$A$906,0)),IF(ISERROR(MATCH(A37,'[1]liste reference'!$B$7:$B$906,0)),"",(MATCH(A37,'[1]liste reference'!$B$7:$B$906,0))),(MATCH(A37,'[1]liste reference'!$A$7:$A$906,0)))</f>
        <v>566</v>
      </c>
      <c r="Z37" s="212"/>
      <c r="AA37" s="213"/>
      <c r="BB37" s="9" t="n">
        <f aca="false">IF(A37="","",1)</f>
        <v>1</v>
      </c>
    </row>
    <row r="38" customFormat="false" ht="12.75" hidden="false" customHeight="false" outlineLevel="0" collapsed="false">
      <c r="A38" s="214" t="s">
        <v>88</v>
      </c>
      <c r="B38" s="215" t="n">
        <v>0.005</v>
      </c>
      <c r="C38" s="216" t="n">
        <v>1</v>
      </c>
      <c r="D38" s="217" t="str">
        <f aca="false">IF(ISERROR(VLOOKUP($A38,'[1]liste reference'!$A$7:$D$906,2,0)),IF(ISERROR(VLOOKUP($A38,'[1]liste reference'!$B$7:$D$906,1,0)),"",VLOOKUP($A38,'[1]liste reference'!$B$7:$D$906,1,0)),VLOOKUP($A38,'[1]liste reference'!$A$7:$D$906,2,0))</f>
        <v>Glyceria fluitans</v>
      </c>
      <c r="E38" s="217" t="e">
        <f aca="false">IF(D38="",0,VLOOKUP(D38,D$21:D37,1,0))</f>
        <v>#N/A</v>
      </c>
      <c r="F38" s="226" t="n">
        <f aca="false">($B38*$B$7+$C38*$C$7)/100</f>
        <v>0.4627</v>
      </c>
      <c r="G38" s="219" t="str">
        <f aca="false">IF(A38="","",IF(ISERROR(VLOOKUP($A38,'[1]liste reference'!$A$7:$P$906,13,0)),IF(ISERROR(VLOOKUP($A38,'[1]liste reference'!$B$7:$P$906,12,0)),"    -",VLOOKUP($A38,'[1]liste reference'!$B$7:$P$906,12,0)),VLOOKUP($A38,'[1]liste reference'!$A$7:$P$906,13,0)))</f>
        <v>PHe</v>
      </c>
      <c r="H38" s="201" t="n">
        <f aca="false">IF(A38="","x",IF(ISERROR(VLOOKUP($A38,'[1]liste reference'!$A$7:$P$906,14,0)),IF(ISERROR(VLOOKUP($A38,'[1]liste reference'!$B$7:$P$906,13,0)),"x",VLOOKUP($A38,'[1]liste reference'!$B$7:$P$906,13,0)),VLOOKUP($A38,'[1]liste reference'!$A$7:$P$906,14,0)))</f>
        <v>8</v>
      </c>
      <c r="I38" s="220" t="n">
        <f aca="false">IF(ISNUMBER(H38),IF(ISERROR(VLOOKUP($A38,'[1]liste reference'!$A$7:$P$906,3,0)),IF(ISERROR(VLOOKUP($A38,'[1]liste reference'!$B$7:$P$906,2,0)),"",VLOOKUP($A38,'[1]liste reference'!$B$7:$P$906,2,0)),VLOOKUP($A38,'[1]liste reference'!$A$7:$P$906,3,0)),"")</f>
        <v>14</v>
      </c>
      <c r="J38" s="203" t="n">
        <f aca="false">IF(ISNUMBER(H38),IF(ISERROR(VLOOKUP($A38,'[1]liste reference'!$A$7:$P$906,4,0)),IF(ISERROR(VLOOKUP($A38,'[1]liste reference'!$B$7:$P$906,3,0)),"",VLOOKUP($A38,'[1]liste reference'!$B$7:$P$906,3,0)),VLOOKUP($A38,'[1]liste reference'!$A$7:$P$906,4,0)),"")</f>
        <v>2</v>
      </c>
      <c r="K38" s="221" t="str">
        <f aca="false">IF(A38="NEW.COD",AA38,IF(ISTEXT($E38),"DEJA SAISI !",IF(A38="","",IF(ISERROR(VLOOKUP($A38,'[1]liste reference'!$A$7:$D$906,2,0)),IF(ISERROR(VLOOKUP($A38,'[1]liste reference'!$B$7:$D$906,1,0)),"code non répertorié ou synonyme",VLOOKUP($A38,'[1]liste reference'!$B$7:$D$906,1,0)),VLOOKUP(A38,'[1]liste reference'!$A$7:$D$906,2,0)))))</f>
        <v>Glyceria fluitans</v>
      </c>
      <c r="L38" s="222"/>
      <c r="M38" s="222"/>
      <c r="N38" s="222"/>
      <c r="O38" s="206"/>
      <c r="P38" s="207" t="n">
        <f aca="false">IF(ISTEXT(H38),"",(B38*$B$7/100)+(C38*$C$7/100))</f>
        <v>0.4627</v>
      </c>
      <c r="Q38" s="208" t="n">
        <f aca="false">IF(OR(ISTEXT(H38),P38=0),"",IF(P38&lt;0.1,1,IF(P38&lt;1,2,IF(P38&lt;10,3,IF(P38&lt;50,4,IF(P38&gt;=50,5,""))))))</f>
        <v>2</v>
      </c>
      <c r="R38" s="208" t="n">
        <f aca="false">IF(ISERROR(Q38*I38),0,Q38*I38)</f>
        <v>28</v>
      </c>
      <c r="S38" s="208" t="n">
        <f aca="false">IF(ISERROR(Q38*I38*J38),0,Q38*I38*J38)</f>
        <v>56</v>
      </c>
      <c r="T38" s="223" t="n">
        <f aca="false">IF(ISERROR(Q38*J38),0,Q38*J38)</f>
        <v>4</v>
      </c>
      <c r="U38" s="209" t="str">
        <f aca="false">IF(AND(A38="",F38=0),"",IF(F38=0,"Il manque le(s) % de rec. !",""))</f>
        <v/>
      </c>
      <c r="V38" s="210"/>
      <c r="W38" s="227"/>
      <c r="X38" s="211" t="str">
        <f aca="false">IF(A38="new.cod","NEW.COD",IF(AND((Y38=""),ISTEXT(A38)),A38,IF(Y38="","",INDEX('[1]liste reference'!$A$7:$A$906,Y38))))</f>
        <v>GLY.FLU</v>
      </c>
      <c r="Y38" s="9" t="n">
        <f aca="false">IF(ISERROR(MATCH(A38,'[1]liste reference'!$A$7:$A$906,0)),IF(ISERROR(MATCH(A38,'[1]liste reference'!$B$7:$B$906,0)),"",(MATCH(A38,'[1]liste reference'!$B$7:$B$906,0))),(MATCH(A38,'[1]liste reference'!$A$7:$A$906,0)))</f>
        <v>580</v>
      </c>
      <c r="Z38" s="212"/>
      <c r="AA38" s="213"/>
      <c r="BB38" s="9" t="n">
        <f aca="false">IF(A38="","",1)</f>
        <v>1</v>
      </c>
    </row>
    <row r="39" customFormat="false" ht="12.75" hidden="false" customHeight="false" outlineLevel="0" collapsed="false">
      <c r="A39" s="214" t="s">
        <v>89</v>
      </c>
      <c r="B39" s="215"/>
      <c r="C39" s="216" t="n">
        <v>0.05</v>
      </c>
      <c r="D39" s="217" t="str">
        <f aca="false">IF(ISERROR(VLOOKUP($A39,'[1]liste reference'!$A$7:$D$906,2,0)),IF(ISERROR(VLOOKUP($A39,'[1]liste reference'!$B$7:$D$906,1,0)),"",VLOOKUP($A39,'[1]liste reference'!$B$7:$D$906,1,0)),VLOOKUP($A39,'[1]liste reference'!$A$7:$D$906,2,0))</f>
        <v>Iris pseudacorus</v>
      </c>
      <c r="E39" s="217" t="e">
        <f aca="false">IF(D39="",0,VLOOKUP(D39,D$22:D38,1,0))</f>
        <v>#N/A</v>
      </c>
      <c r="F39" s="226" t="n">
        <f aca="false">($B39*$B$7+$C39*$C$7)/100</f>
        <v>0.023</v>
      </c>
      <c r="G39" s="219" t="str">
        <f aca="false">IF(A39="","",IF(ISERROR(VLOOKUP($A39,'[1]liste reference'!$A$7:$P$906,13,0)),IF(ISERROR(VLOOKUP($A39,'[1]liste reference'!$B$7:$P$906,12,0)),"    -",VLOOKUP($A39,'[1]liste reference'!$B$7:$P$906,12,0)),VLOOKUP($A39,'[1]liste reference'!$A$7:$P$906,13,0)))</f>
        <v>PHe</v>
      </c>
      <c r="H39" s="201" t="n">
        <f aca="false">IF(A39="","x",IF(ISERROR(VLOOKUP($A39,'[1]liste reference'!$A$7:$P$906,14,0)),IF(ISERROR(VLOOKUP($A39,'[1]liste reference'!$B$7:$P$906,13,0)),"x",VLOOKUP($A39,'[1]liste reference'!$B$7:$P$906,13,0)),VLOOKUP($A39,'[1]liste reference'!$A$7:$P$906,14,0)))</f>
        <v>8</v>
      </c>
      <c r="I39" s="220" t="n">
        <f aca="false">IF(ISNUMBER(H39),IF(ISERROR(VLOOKUP($A39,'[1]liste reference'!$A$7:$P$906,3,0)),IF(ISERROR(VLOOKUP($A39,'[1]liste reference'!$B$7:$P$906,2,0)),"",VLOOKUP($A39,'[1]liste reference'!$B$7:$P$906,2,0)),VLOOKUP($A39,'[1]liste reference'!$A$7:$P$906,3,0)),"")</f>
        <v>10</v>
      </c>
      <c r="J39" s="203" t="n">
        <f aca="false">IF(ISNUMBER(H39),IF(ISERROR(VLOOKUP($A39,'[1]liste reference'!$A$7:$P$906,4,0)),IF(ISERROR(VLOOKUP($A39,'[1]liste reference'!$B$7:$P$906,3,0)),"",VLOOKUP($A39,'[1]liste reference'!$B$7:$P$906,3,0)),VLOOKUP($A39,'[1]liste reference'!$A$7:$P$906,4,0)),"")</f>
        <v>1</v>
      </c>
      <c r="K39" s="221" t="str">
        <f aca="false">IF(A39="NEW.COD",AA39,IF(ISTEXT($E39),"DEJA SAISI !",IF(A39="","",IF(ISERROR(VLOOKUP($A39,'[1]liste reference'!$A$7:$D$906,2,0)),IF(ISERROR(VLOOKUP($A39,'[1]liste reference'!$B$7:$D$906,1,0)),"code non répertorié ou synonyme",VLOOKUP($A39,'[1]liste reference'!$B$7:$D$906,1,0)),VLOOKUP(A39,'[1]liste reference'!$A$7:$D$906,2,0)))))</f>
        <v>Iris pseudacorus</v>
      </c>
      <c r="L39" s="222"/>
      <c r="M39" s="222"/>
      <c r="N39" s="222"/>
      <c r="O39" s="206"/>
      <c r="P39" s="207" t="n">
        <f aca="false">IF(ISTEXT(H39),"",(B39*$B$7/100)+(C39*$C$7/100))</f>
        <v>0.023</v>
      </c>
      <c r="Q39" s="208" t="n">
        <f aca="false">IF(OR(ISTEXT(H39),P39=0),"",IF(P39&lt;0.1,1,IF(P39&lt;1,2,IF(P39&lt;10,3,IF(P39&lt;50,4,IF(P39&gt;=50,5,""))))))</f>
        <v>1</v>
      </c>
      <c r="R39" s="208" t="n">
        <f aca="false">IF(ISERROR(Q39*I39),0,Q39*I39)</f>
        <v>10</v>
      </c>
      <c r="S39" s="208" t="n">
        <f aca="false">IF(ISERROR(Q39*I39*J39),0,Q39*I39*J39)</f>
        <v>10</v>
      </c>
      <c r="T39" s="223" t="n">
        <f aca="false">IF(ISERROR(Q39*J39),0,Q39*J39)</f>
        <v>1</v>
      </c>
      <c r="U39" s="209" t="str">
        <f aca="false">IF(AND(A39="",F39=0),"",IF(F39=0,"Il manque le(s) % de rec. !",""))</f>
        <v/>
      </c>
      <c r="V39" s="210"/>
      <c r="X39" s="211" t="str">
        <f aca="false">IF(A39="new.cod","NEW.COD",IF(AND((Y39=""),ISTEXT(A39)),A39,IF(Y39="","",INDEX('[1]liste reference'!$A$7:$A$906,Y39))))</f>
        <v>IRI.PSE</v>
      </c>
      <c r="Y39" s="9" t="n">
        <f aca="false">IF(ISERROR(MATCH(A39,'[1]liste reference'!$A$7:$A$906,0)),IF(ISERROR(MATCH(A39,'[1]liste reference'!$B$7:$B$906,0)),"",(MATCH(A39,'[1]liste reference'!$B$7:$B$906,0))),(MATCH(A39,'[1]liste reference'!$A$7:$A$906,0)))</f>
        <v>588</v>
      </c>
      <c r="Z39" s="212"/>
      <c r="AA39" s="213"/>
      <c r="BB39" s="9" t="n">
        <f aca="false">IF(A39="","",1)</f>
        <v>1</v>
      </c>
    </row>
    <row r="40" customFormat="false" ht="12.75" hidden="false" customHeight="false" outlineLevel="0" collapsed="false">
      <c r="A40" s="214" t="s">
        <v>90</v>
      </c>
      <c r="B40" s="215" t="n">
        <v>0.005</v>
      </c>
      <c r="C40" s="216"/>
      <c r="D40" s="217" t="str">
        <f aca="false">IF(ISERROR(VLOOKUP($A40,'[1]liste reference'!$A$7:$D$906,2,0)),IF(ISERROR(VLOOKUP($A40,'[1]liste reference'!$B$7:$D$906,1,0)),"",VLOOKUP($A40,'[1]liste reference'!$B$7:$D$906,1,0)),VLOOKUP($A40,'[1]liste reference'!$A$7:$D$906,2,0))</f>
        <v>Lysimachia vulgaris</v>
      </c>
      <c r="E40" s="217" t="e">
        <f aca="false">IF(D40="",0,VLOOKUP(D40,D$22:D39,1,0))</f>
        <v>#N/A</v>
      </c>
      <c r="F40" s="226" t="n">
        <f aca="false">($B40*$B$7+$C40*$C$7)/100</f>
        <v>0.0027</v>
      </c>
      <c r="G40" s="219" t="str">
        <f aca="false">IF(A40="","",IF(ISERROR(VLOOKUP($A40,'[1]liste reference'!$A$7:$P$906,13,0)),IF(ISERROR(VLOOKUP($A40,'[1]liste reference'!$B$7:$P$906,12,0)),"    -",VLOOKUP($A40,'[1]liste reference'!$B$7:$P$906,12,0)),VLOOKUP($A40,'[1]liste reference'!$A$7:$P$906,13,0)))</f>
        <v>PHe</v>
      </c>
      <c r="H40" s="201" t="n">
        <f aca="false">IF(A40="","x",IF(ISERROR(VLOOKUP($A40,'[1]liste reference'!$A$7:$P$906,14,0)),IF(ISERROR(VLOOKUP($A40,'[1]liste reference'!$B$7:$P$906,13,0)),"x",VLOOKUP($A40,'[1]liste reference'!$B$7:$P$906,13,0)),VLOOKUP($A40,'[1]liste reference'!$A$7:$P$906,14,0)))</f>
        <v>8</v>
      </c>
      <c r="I40" s="220" t="str">
        <f aca="false">IF(ISNUMBER(H40),IF(ISERROR(VLOOKUP($A40,'[1]liste reference'!$A$7:$P$906,3,0)),IF(ISERROR(VLOOKUP($A40,'[1]liste reference'!$B$7:$P$906,2,0)),"",VLOOKUP($A40,'[1]liste reference'!$B$7:$P$906,2,0)),VLOOKUP($A40,'[1]liste reference'!$A$7:$P$906,3,0)),"")</f>
        <v/>
      </c>
      <c r="J40" s="203" t="str">
        <f aca="false">IF(ISNUMBER(H40),IF(ISERROR(VLOOKUP($A40,'[1]liste reference'!$A$7:$P$906,4,0)),IF(ISERROR(VLOOKUP($A40,'[1]liste reference'!$B$7:$P$906,3,0)),"",VLOOKUP($A40,'[1]liste reference'!$B$7:$P$906,3,0)),VLOOKUP($A40,'[1]liste reference'!$A$7:$P$906,4,0)),"")</f>
        <v/>
      </c>
      <c r="K40" s="221" t="str">
        <f aca="false">IF(A40="NEW.COD",AA40,IF(ISTEXT($E40),"DEJA SAISI !",IF(A40="","",IF(ISERROR(VLOOKUP($A40,'[1]liste reference'!$A$7:$D$906,2,0)),IF(ISERROR(VLOOKUP($A40,'[1]liste reference'!$B$7:$D$906,1,0)),"code non répertorié ou synonyme",VLOOKUP($A40,'[1]liste reference'!$B$7:$D$906,1,0)),VLOOKUP(A40,'[1]liste reference'!$A$7:$D$906,2,0)))))</f>
        <v>Lysimachia vulgaris</v>
      </c>
      <c r="L40" s="222"/>
      <c r="M40" s="222"/>
      <c r="N40" s="222"/>
      <c r="O40" s="206"/>
      <c r="P40" s="207" t="n">
        <f aca="false">IF(ISTEXT(H40),"",(B40*$B$7/100)+(C40*$C$7/100))</f>
        <v>0.0027</v>
      </c>
      <c r="Q40" s="208" t="n">
        <f aca="false">IF(OR(ISTEXT(H40),P40=0),"",IF(P40&lt;0.1,1,IF(P40&lt;1,2,IF(P40&lt;10,3,IF(P40&lt;50,4,IF(P40&gt;=50,5,""))))))</f>
        <v>1</v>
      </c>
      <c r="R40" s="208" t="n">
        <f aca="false">IF(ISERROR(Q40*I40),0,Q40*I40)</f>
        <v>0</v>
      </c>
      <c r="S40" s="208" t="n">
        <f aca="false">IF(ISERROR(Q40*I40*J40),0,Q40*I40*J40)</f>
        <v>0</v>
      </c>
      <c r="T40" s="223" t="n">
        <f aca="false">IF(ISERROR(Q40*J40),0,Q40*J40)</f>
        <v>0</v>
      </c>
      <c r="U40" s="209" t="str">
        <f aca="false">IF(AND(A40="",F40=0),"",IF(F40=0,"Il manque le(s) % de rec. !",""))</f>
        <v/>
      </c>
      <c r="V40" s="228"/>
      <c r="X40" s="211" t="str">
        <f aca="false">IF(A40="new.cod","NEW.COD",IF(AND((Y40=""),ISTEXT(A40)),A40,IF(Y40="","",INDEX('[1]liste reference'!$A$7:$A$906,Y40))))</f>
        <v>LYS.VUL</v>
      </c>
      <c r="Y40" s="9" t="n">
        <f aca="false">IF(ISERROR(MATCH(A40,'[1]liste reference'!$A$7:$A$906,0)),IF(ISERROR(MATCH(A40,'[1]liste reference'!$B$7:$B$906,0)),"",(MATCH(A40,'[1]liste reference'!$B$7:$B$906,0))),(MATCH(A40,'[1]liste reference'!$A$7:$A$906,0)))</f>
        <v>607</v>
      </c>
      <c r="Z40" s="212"/>
      <c r="AA40" s="213"/>
      <c r="BB40" s="9" t="n">
        <f aca="false">IF(A40="","",1)</f>
        <v>1</v>
      </c>
    </row>
    <row r="41" customFormat="false" ht="12.75" hidden="false" customHeight="false" outlineLevel="0" collapsed="false">
      <c r="A41" s="214" t="s">
        <v>91</v>
      </c>
      <c r="B41" s="215" t="n">
        <v>0.02</v>
      </c>
      <c r="C41" s="216" t="n">
        <v>0.02</v>
      </c>
      <c r="D41" s="217" t="str">
        <f aca="false">IF(ISERROR(VLOOKUP($A41,'[1]liste reference'!$A$7:$D$906,2,0)),IF(ISERROR(VLOOKUP($A41,'[1]liste reference'!$B$7:$D$906,1,0)),"",VLOOKUP($A41,'[1]liste reference'!$B$7:$D$906,1,0)),VLOOKUP($A41,'[1]liste reference'!$A$7:$D$906,2,0))</f>
        <v>Mentha sp.</v>
      </c>
      <c r="E41" s="217" t="e">
        <f aca="false">IF(D41="",0,VLOOKUP(D41,D$22:D40,1,0))</f>
        <v>#N/A</v>
      </c>
      <c r="F41" s="226" t="n">
        <f aca="false">($B41*$B$7+$C41*$C$7)/100</f>
        <v>0.02</v>
      </c>
      <c r="G41" s="219" t="str">
        <f aca="false">IF(A41="","",IF(ISERROR(VLOOKUP($A41,'[1]liste reference'!$A$7:$P$906,13,0)),IF(ISERROR(VLOOKUP($A41,'[1]liste reference'!$B$7:$P$906,12,0)),"    -",VLOOKUP($A41,'[1]liste reference'!$B$7:$P$906,12,0)),VLOOKUP($A41,'[1]liste reference'!$A$7:$P$906,13,0)))</f>
        <v>PHe</v>
      </c>
      <c r="H41" s="201" t="n">
        <f aca="false">IF(A41="","x",IF(ISERROR(VLOOKUP($A41,'[1]liste reference'!$A$7:$P$906,14,0)),IF(ISERROR(VLOOKUP($A41,'[1]liste reference'!$B$7:$P$906,13,0)),"x",VLOOKUP($A41,'[1]liste reference'!$B$7:$P$906,13,0)),VLOOKUP($A41,'[1]liste reference'!$A$7:$P$906,14,0)))</f>
        <v>8</v>
      </c>
      <c r="I41" s="220" t="str">
        <f aca="false">IF(ISNUMBER(H41),IF(ISERROR(VLOOKUP($A41,'[1]liste reference'!$A$7:$P$906,3,0)),IF(ISERROR(VLOOKUP($A41,'[1]liste reference'!$B$7:$P$906,2,0)),"",VLOOKUP($A41,'[1]liste reference'!$B$7:$P$906,2,0)),VLOOKUP($A41,'[1]liste reference'!$A$7:$P$906,3,0)),"")</f>
        <v/>
      </c>
      <c r="J41" s="203" t="str">
        <f aca="false">IF(ISNUMBER(H41),IF(ISERROR(VLOOKUP($A41,'[1]liste reference'!$A$7:$P$906,4,0)),IF(ISERROR(VLOOKUP($A41,'[1]liste reference'!$B$7:$P$906,3,0)),"",VLOOKUP($A41,'[1]liste reference'!$B$7:$P$906,3,0)),VLOOKUP($A41,'[1]liste reference'!$A$7:$P$906,4,0)),"")</f>
        <v/>
      </c>
      <c r="K41" s="221" t="str">
        <f aca="false">IF(A41="NEW.COD",AA41,IF(ISTEXT($E41),"DEJA SAISI !",IF(A41="","",IF(ISERROR(VLOOKUP($A41,'[1]liste reference'!$A$7:$D$906,2,0)),IF(ISERROR(VLOOKUP($A41,'[1]liste reference'!$B$7:$D$906,1,0)),"code non répertorié ou synonyme",VLOOKUP($A41,'[1]liste reference'!$B$7:$D$906,1,0)),VLOOKUP(A41,'[1]liste reference'!$A$7:$D$906,2,0)))))</f>
        <v>Mentha sp.</v>
      </c>
      <c r="L41" s="222"/>
      <c r="M41" s="222"/>
      <c r="N41" s="222"/>
      <c r="O41" s="206"/>
      <c r="P41" s="207" t="n">
        <f aca="false">IF(ISTEXT(H41),"",(B41*$B$7/100)+(C41*$C$7/100))</f>
        <v>0.02</v>
      </c>
      <c r="Q41" s="208" t="n">
        <f aca="false">IF(OR(ISTEXT(H41),P41=0),"",IF(P41&lt;0.1,1,IF(P41&lt;1,2,IF(P41&lt;10,3,IF(P41&lt;50,4,IF(P41&gt;=50,5,""))))))</f>
        <v>1</v>
      </c>
      <c r="R41" s="208" t="n">
        <f aca="false">IF(ISERROR(Q41*I41),0,Q41*I41)</f>
        <v>0</v>
      </c>
      <c r="S41" s="208" t="n">
        <f aca="false">IF(ISERROR(Q41*I41*J41),0,Q41*I41*J41)</f>
        <v>0</v>
      </c>
      <c r="T41" s="223" t="n">
        <f aca="false">IF(ISERROR(Q41*J41),0,Q41*J41)</f>
        <v>0</v>
      </c>
      <c r="U41" s="209" t="str">
        <f aca="false">IF(AND(A41="",F41=0),"",IF(F41=0,"Il manque le(s) % de rec. !",""))</f>
        <v/>
      </c>
      <c r="V41" s="210"/>
      <c r="X41" s="211" t="str">
        <f aca="false">IF(A41="new.cod","NEW.COD",IF(AND((Y41=""),ISTEXT(A41)),A41,IF(Y41="","",INDEX('[1]liste reference'!$A$7:$A$906,Y41))))</f>
        <v>MEN.SPX</v>
      </c>
      <c r="Y41" s="9" t="n">
        <f aca="false">IF(ISERROR(MATCH(A41,'[1]liste reference'!$A$7:$A$906,0)),IF(ISERROR(MATCH(A41,'[1]liste reference'!$B$7:$B$906,0)),"",(MATCH(A41,'[1]liste reference'!$B$7:$B$906,0))),(MATCH(A41,'[1]liste reference'!$A$7:$A$906,0)))</f>
        <v>616</v>
      </c>
      <c r="Z41" s="212"/>
      <c r="AA41" s="213"/>
      <c r="BB41" s="9" t="n">
        <f aca="false">IF(A41="","",1)</f>
        <v>1</v>
      </c>
    </row>
    <row r="42" customFormat="false" ht="12.75" hidden="false" customHeight="false" outlineLevel="0" collapsed="false">
      <c r="A42" s="214" t="s">
        <v>92</v>
      </c>
      <c r="B42" s="215" t="n">
        <v>0.1</v>
      </c>
      <c r="C42" s="216" t="n">
        <v>0.35</v>
      </c>
      <c r="D42" s="217" t="str">
        <f aca="false">IF(ISERROR(VLOOKUP($A42,'[1]liste reference'!$A$7:$D$906,2,0)),IF(ISERROR(VLOOKUP($A42,'[1]liste reference'!$B$7:$D$906,1,0)),"",VLOOKUP($A42,'[1]liste reference'!$B$7:$D$906,1,0)),VLOOKUP($A42,'[1]liste reference'!$A$7:$D$906,2,0))</f>
        <v>Phalaris arundinacea</v>
      </c>
      <c r="E42" s="217" t="e">
        <f aca="false">IF(D42="",0,VLOOKUP(D42,D$22:D41,1,0))</f>
        <v>#N/A</v>
      </c>
      <c r="F42" s="226" t="n">
        <f aca="false">($B42*$B$7+$C42*$C$7)/100</f>
        <v>0.215</v>
      </c>
      <c r="G42" s="219" t="str">
        <f aca="false">IF(A42="","",IF(ISERROR(VLOOKUP($A42,'[1]liste reference'!$A$7:$P$906,13,0)),IF(ISERROR(VLOOKUP($A42,'[1]liste reference'!$B$7:$P$906,12,0)),"    -",VLOOKUP($A42,'[1]liste reference'!$B$7:$P$906,12,0)),VLOOKUP($A42,'[1]liste reference'!$A$7:$P$906,13,0)))</f>
        <v>PHe</v>
      </c>
      <c r="H42" s="201" t="n">
        <f aca="false">IF(A42="","x",IF(ISERROR(VLOOKUP($A42,'[1]liste reference'!$A$7:$P$906,14,0)),IF(ISERROR(VLOOKUP($A42,'[1]liste reference'!$B$7:$P$906,13,0)),"x",VLOOKUP($A42,'[1]liste reference'!$B$7:$P$906,13,0)),VLOOKUP($A42,'[1]liste reference'!$A$7:$P$906,14,0)))</f>
        <v>8</v>
      </c>
      <c r="I42" s="220" t="n">
        <f aca="false">IF(ISNUMBER(H42),IF(ISERROR(VLOOKUP($A42,'[1]liste reference'!$A$7:$P$906,3,0)),IF(ISERROR(VLOOKUP($A42,'[1]liste reference'!$B$7:$P$906,2,0)),"",VLOOKUP($A42,'[1]liste reference'!$B$7:$P$906,2,0)),VLOOKUP($A42,'[1]liste reference'!$A$7:$P$906,3,0)),"")</f>
        <v>10</v>
      </c>
      <c r="J42" s="203" t="n">
        <f aca="false">IF(ISNUMBER(H42),IF(ISERROR(VLOOKUP($A42,'[1]liste reference'!$A$7:$P$906,4,0)),IF(ISERROR(VLOOKUP($A42,'[1]liste reference'!$B$7:$P$906,3,0)),"",VLOOKUP($A42,'[1]liste reference'!$B$7:$P$906,3,0)),VLOOKUP($A42,'[1]liste reference'!$A$7:$P$906,4,0)),"")</f>
        <v>1</v>
      </c>
      <c r="K42" s="221" t="str">
        <f aca="false">IF(A42="NEW.COD",AA42,IF(ISTEXT($E42),"DEJA SAISI !",IF(A42="","",IF(ISERROR(VLOOKUP($A42,'[1]liste reference'!$A$7:$D$906,2,0)),IF(ISERROR(VLOOKUP($A42,'[1]liste reference'!$B$7:$D$906,1,0)),"code non répertorié ou synonyme",VLOOKUP($A42,'[1]liste reference'!$B$7:$D$906,1,0)),VLOOKUP(A42,'[1]liste reference'!$A$7:$D$906,2,0)))))</f>
        <v>Phalaris arundinacea</v>
      </c>
      <c r="L42" s="222"/>
      <c r="M42" s="222"/>
      <c r="N42" s="222"/>
      <c r="O42" s="206"/>
      <c r="P42" s="207" t="n">
        <f aca="false">IF(ISTEXT(H42),"",(B42*$B$7/100)+(C42*$C$7/100))</f>
        <v>0.215</v>
      </c>
      <c r="Q42" s="208" t="n">
        <f aca="false">IF(OR(ISTEXT(H42),P42=0),"",IF(P42&lt;0.1,1,IF(P42&lt;1,2,IF(P42&lt;10,3,IF(P42&lt;50,4,IF(P42&gt;=50,5,""))))))</f>
        <v>2</v>
      </c>
      <c r="R42" s="208" t="n">
        <f aca="false">IF(ISERROR(Q42*I42),0,Q42*I42)</f>
        <v>20</v>
      </c>
      <c r="S42" s="208" t="n">
        <f aca="false">IF(ISERROR(Q42*I42*J42),0,Q42*I42*J42)</f>
        <v>20</v>
      </c>
      <c r="T42" s="223" t="n">
        <f aca="false">IF(ISERROR(Q42*J42),0,Q42*J42)</f>
        <v>2</v>
      </c>
      <c r="U42" s="209" t="str">
        <f aca="false">IF(AND(A42="",F42=0),"",IF(F42=0,"Il manque le(s) % de rec. !",""))</f>
        <v/>
      </c>
      <c r="V42" s="210"/>
      <c r="X42" s="211" t="str">
        <f aca="false">IF(A42="new.cod","NEW.COD",IF(AND((Y42=""),ISTEXT(A42)),A42,IF(Y42="","",INDEX('[1]liste reference'!$A$7:$A$906,Y42))))</f>
        <v>PHA.ARU</v>
      </c>
      <c r="Y42" s="9" t="n">
        <f aca="false">IF(ISERROR(MATCH(A42,'[1]liste reference'!$A$7:$A$906,0)),IF(ISERROR(MATCH(A42,'[1]liste reference'!$B$7:$B$906,0)),"",(MATCH(A42,'[1]liste reference'!$B$7:$B$906,0))),(MATCH(A42,'[1]liste reference'!$A$7:$A$906,0)))</f>
        <v>640</v>
      </c>
      <c r="Z42" s="212"/>
      <c r="AA42" s="213"/>
      <c r="BB42" s="9" t="n">
        <f aca="false">IF(A42="","",1)</f>
        <v>1</v>
      </c>
    </row>
    <row r="43" customFormat="false" ht="12.75" hidden="false" customHeight="false" outlineLevel="0" collapsed="false">
      <c r="A43" s="214" t="s">
        <v>93</v>
      </c>
      <c r="B43" s="215" t="n">
        <v>0.005</v>
      </c>
      <c r="C43" s="216" t="n">
        <v>0.2</v>
      </c>
      <c r="D43" s="217" t="str">
        <f aca="false">IF(ISERROR(VLOOKUP($A43,'[1]liste reference'!$A$7:$D$906,2,0)),IF(ISERROR(VLOOKUP($A43,'[1]liste reference'!$B$7:$D$906,1,0)),"",VLOOKUP($A43,'[1]liste reference'!$B$7:$D$906,1,0)),VLOOKUP($A43,'[1]liste reference'!$A$7:$D$906,2,0))</f>
        <v>Sparganium erectum</v>
      </c>
      <c r="E43" s="217" t="e">
        <f aca="false">IF(D43="",0,VLOOKUP(D43,D$22:D42,1,0))</f>
        <v>#N/A</v>
      </c>
      <c r="F43" s="226" t="n">
        <f aca="false">($B43*$B$7+$C43*$C$7)/100</f>
        <v>0.0947</v>
      </c>
      <c r="G43" s="219" t="str">
        <f aca="false">IF(A43="","",IF(ISERROR(VLOOKUP($A43,'[1]liste reference'!$A$7:$P$906,13,0)),IF(ISERROR(VLOOKUP($A43,'[1]liste reference'!$B$7:$P$906,12,0)),"    -",VLOOKUP($A43,'[1]liste reference'!$B$7:$P$906,12,0)),VLOOKUP($A43,'[1]liste reference'!$A$7:$P$906,13,0)))</f>
        <v>PHe</v>
      </c>
      <c r="H43" s="201" t="n">
        <f aca="false">IF(A43="","x",IF(ISERROR(VLOOKUP($A43,'[1]liste reference'!$A$7:$P$906,14,0)),IF(ISERROR(VLOOKUP($A43,'[1]liste reference'!$B$7:$P$906,13,0)),"x",VLOOKUP($A43,'[1]liste reference'!$B$7:$P$906,13,0)),VLOOKUP($A43,'[1]liste reference'!$A$7:$P$906,14,0)))</f>
        <v>8</v>
      </c>
      <c r="I43" s="220" t="n">
        <f aca="false">IF(ISNUMBER(H43),IF(ISERROR(VLOOKUP($A43,'[1]liste reference'!$A$7:$P$906,3,0)),IF(ISERROR(VLOOKUP($A43,'[1]liste reference'!$B$7:$P$906,2,0)),"",VLOOKUP($A43,'[1]liste reference'!$B$7:$P$906,2,0)),VLOOKUP($A43,'[1]liste reference'!$A$7:$P$906,3,0)),"")</f>
        <v>10</v>
      </c>
      <c r="J43" s="203" t="n">
        <f aca="false">IF(ISNUMBER(H43),IF(ISERROR(VLOOKUP($A43,'[1]liste reference'!$A$7:$P$906,4,0)),IF(ISERROR(VLOOKUP($A43,'[1]liste reference'!$B$7:$P$906,3,0)),"",VLOOKUP($A43,'[1]liste reference'!$B$7:$P$906,3,0)),VLOOKUP($A43,'[1]liste reference'!$A$7:$P$906,4,0)),"")</f>
        <v>1</v>
      </c>
      <c r="K43" s="221" t="str">
        <f aca="false">IF(A43="NEW.COD",AA43,IF(ISTEXT($E43),"DEJA SAISI !",IF(A43="","",IF(ISERROR(VLOOKUP($A43,'[1]liste reference'!$A$7:$D$906,2,0)),IF(ISERROR(VLOOKUP($A43,'[1]liste reference'!$B$7:$D$906,1,0)),"code non répertorié ou synonyme",VLOOKUP($A43,'[1]liste reference'!$B$7:$D$906,1,0)),VLOOKUP(A43,'[1]liste reference'!$A$7:$D$906,2,0)))))</f>
        <v>Sparganium erectum</v>
      </c>
      <c r="L43" s="222"/>
      <c r="M43" s="222"/>
      <c r="N43" s="222"/>
      <c r="O43" s="206"/>
      <c r="P43" s="207" t="n">
        <f aca="false">IF(ISTEXT(H43),"",(B43*$B$7/100)+(C43*$C$7/100))</f>
        <v>0.0947</v>
      </c>
      <c r="Q43" s="208" t="n">
        <f aca="false">IF(OR(ISTEXT(H43),P43=0),"",IF(P43&lt;0.1,1,IF(P43&lt;1,2,IF(P43&lt;10,3,IF(P43&lt;50,4,IF(P43&gt;=50,5,""))))))</f>
        <v>1</v>
      </c>
      <c r="R43" s="208" t="n">
        <f aca="false">IF(ISERROR(Q43*I43),0,Q43*I43)</f>
        <v>10</v>
      </c>
      <c r="S43" s="208" t="n">
        <f aca="false">IF(ISERROR(Q43*I43*J43),0,Q43*I43*J43)</f>
        <v>10</v>
      </c>
      <c r="T43" s="223" t="n">
        <f aca="false">IF(ISERROR(Q43*J43),0,Q43*J43)</f>
        <v>1</v>
      </c>
      <c r="U43" s="209" t="str">
        <f aca="false">IF(AND(A43="",F43=0),"",IF(F43=0,"Il manque le(s) % de rec. !",""))</f>
        <v/>
      </c>
      <c r="V43" s="210"/>
      <c r="X43" s="211" t="str">
        <f aca="false">IF(A43="new.cod","NEW.COD",IF(AND((Y43=""),ISTEXT(A43)),A43,IF(Y43="","",INDEX('[1]liste reference'!$A$7:$A$906,Y43))))</f>
        <v>SPA.ERE</v>
      </c>
      <c r="Y43" s="9" t="n">
        <f aca="false">IF(ISERROR(MATCH(A43,'[1]liste reference'!$A$7:$A$906,0)),IF(ISERROR(MATCH(A43,'[1]liste reference'!$B$7:$B$906,0)),"",(MATCH(A43,'[1]liste reference'!$B$7:$B$906,0))),(MATCH(A43,'[1]liste reference'!$A$7:$A$906,0)))</f>
        <v>675</v>
      </c>
      <c r="Z43" s="212"/>
      <c r="AA43" s="213"/>
      <c r="BB43" s="9" t="n">
        <f aca="false">IF(A43="","",1)</f>
        <v>1</v>
      </c>
    </row>
    <row r="44" customFormat="false" ht="12.75" hidden="false" customHeight="false" outlineLevel="0" collapsed="false">
      <c r="A44" s="214" t="s">
        <v>94</v>
      </c>
      <c r="B44" s="215" t="n">
        <v>0.005</v>
      </c>
      <c r="C44" s="216" t="n">
        <v>0.005</v>
      </c>
      <c r="D44" s="217" t="str">
        <f aca="false">IF(ISERROR(VLOOKUP($A44,'[1]liste reference'!$A$7:$D$906,2,0)),IF(ISERROR(VLOOKUP($A44,'[1]liste reference'!$B$7:$D$906,1,0)),"",VLOOKUP($A44,'[1]liste reference'!$B$7:$D$906,1,0)),VLOOKUP($A44,'[1]liste reference'!$A$7:$D$906,2,0))</f>
        <v>Veronica anagallis-aquatica</v>
      </c>
      <c r="E44" s="217" t="e">
        <f aca="false">IF(D44="",0,VLOOKUP(D44,D$22:D43,1,0))</f>
        <v>#N/A</v>
      </c>
      <c r="F44" s="226" t="n">
        <f aca="false">($B44*$B$7+$C44*$C$7)/100</f>
        <v>0.005</v>
      </c>
      <c r="G44" s="219" t="str">
        <f aca="false">IF(A44="","",IF(ISERROR(VLOOKUP($A44,'[1]liste reference'!$A$7:$P$906,13,0)),IF(ISERROR(VLOOKUP($A44,'[1]liste reference'!$B$7:$P$906,12,0)),"    -",VLOOKUP($A44,'[1]liste reference'!$B$7:$P$906,12,0)),VLOOKUP($A44,'[1]liste reference'!$A$7:$P$906,13,0)))</f>
        <v>PHe</v>
      </c>
      <c r="H44" s="201" t="n">
        <f aca="false">IF(A44="","x",IF(ISERROR(VLOOKUP($A44,'[1]liste reference'!$A$7:$P$906,14,0)),IF(ISERROR(VLOOKUP($A44,'[1]liste reference'!$B$7:$P$906,13,0)),"x",VLOOKUP($A44,'[1]liste reference'!$B$7:$P$906,13,0)),VLOOKUP($A44,'[1]liste reference'!$A$7:$P$906,14,0)))</f>
        <v>8</v>
      </c>
      <c r="I44" s="220" t="n">
        <f aca="false">IF(ISNUMBER(H44),IF(ISERROR(VLOOKUP($A44,'[1]liste reference'!$A$7:$P$906,3,0)),IF(ISERROR(VLOOKUP($A44,'[1]liste reference'!$B$7:$P$906,2,0)),"",VLOOKUP($A44,'[1]liste reference'!$B$7:$P$906,2,0)),VLOOKUP($A44,'[1]liste reference'!$A$7:$P$906,3,0)),"")</f>
        <v>11</v>
      </c>
      <c r="J44" s="203" t="n">
        <f aca="false">IF(ISNUMBER(H44),IF(ISERROR(VLOOKUP($A44,'[1]liste reference'!$A$7:$P$906,4,0)),IF(ISERROR(VLOOKUP($A44,'[1]liste reference'!$B$7:$P$906,3,0)),"",VLOOKUP($A44,'[1]liste reference'!$B$7:$P$906,3,0)),VLOOKUP($A44,'[1]liste reference'!$A$7:$P$906,4,0)),"")</f>
        <v>2</v>
      </c>
      <c r="K44" s="221" t="str">
        <f aca="false">IF(A44="NEW.COD",AA44,IF(ISTEXT($E44),"DEJA SAISI !",IF(A44="","",IF(ISERROR(VLOOKUP($A44,'[1]liste reference'!$A$7:$D$906,2,0)),IF(ISERROR(VLOOKUP($A44,'[1]liste reference'!$B$7:$D$906,1,0)),"code non répertorié ou synonyme",VLOOKUP($A44,'[1]liste reference'!$B$7:$D$906,1,0)),VLOOKUP(A44,'[1]liste reference'!$A$7:$D$906,2,0)))))</f>
        <v>Veronica anagallis-aquatica</v>
      </c>
      <c r="L44" s="222"/>
      <c r="M44" s="222"/>
      <c r="N44" s="222"/>
      <c r="O44" s="206"/>
      <c r="P44" s="207" t="n">
        <f aca="false">IF(ISTEXT(H44),"",(B44*$B$7/100)+(C44*$C$7/100))</f>
        <v>0.005</v>
      </c>
      <c r="Q44" s="208" t="n">
        <f aca="false">IF(OR(ISTEXT(H44),P44=0),"",IF(P44&lt;0.1,1,IF(P44&lt;1,2,IF(P44&lt;10,3,IF(P44&lt;50,4,IF(P44&gt;=50,5,""))))))</f>
        <v>1</v>
      </c>
      <c r="R44" s="208" t="n">
        <f aca="false">IF(ISERROR(Q44*I44),0,Q44*I44)</f>
        <v>11</v>
      </c>
      <c r="S44" s="208" t="n">
        <f aca="false">IF(ISERROR(Q44*I44*J44),0,Q44*I44*J44)</f>
        <v>22</v>
      </c>
      <c r="T44" s="223" t="n">
        <f aca="false">IF(ISERROR(Q44*J44),0,Q44*J44)</f>
        <v>2</v>
      </c>
      <c r="U44" s="209" t="str">
        <f aca="false">IF(AND(A44="",F44=0),"",IF(F44=0,"Il manque le(s) % de rec. !",""))</f>
        <v/>
      </c>
      <c r="V44" s="210"/>
      <c r="X44" s="211" t="str">
        <f aca="false">IF(A44="new.cod","NEW.COD",IF(AND((Y44=""),ISTEXT(A44)),A44,IF(Y44="","",INDEX('[1]liste reference'!$A$7:$A$906,Y44))))</f>
        <v>VER.ANA</v>
      </c>
      <c r="Y44" s="9" t="n">
        <f aca="false">IF(ISERROR(MATCH(A44,'[1]liste reference'!$A$7:$A$906,0)),IF(ISERROR(MATCH(A44,'[1]liste reference'!$B$7:$B$906,0)),"",(MATCH(A44,'[1]liste reference'!$B$7:$B$906,0))),(MATCH(A44,'[1]liste reference'!$A$7:$A$906,0)))</f>
        <v>689</v>
      </c>
      <c r="Z44" s="212"/>
      <c r="AA44" s="213"/>
      <c r="BB44" s="9" t="n">
        <f aca="false">IF(A44="","",1)</f>
        <v>1</v>
      </c>
    </row>
    <row r="45" customFormat="false" ht="12.75" hidden="false" customHeight="false" outlineLevel="0" collapsed="false">
      <c r="A45" s="214" t="s">
        <v>95</v>
      </c>
      <c r="B45" s="215" t="n">
        <v>0.05</v>
      </c>
      <c r="C45" s="216"/>
      <c r="D45" s="217" t="str">
        <f aca="false">IF(ISERROR(VLOOKUP($A45,'[1]liste reference'!$A$7:$D$906,2,0)),IF(ISERROR(VLOOKUP($A45,'[1]liste reference'!$B$7:$D$906,1,0)),"",VLOOKUP($A45,'[1]liste reference'!$B$7:$D$906,1,0)),VLOOKUP($A45,'[1]liste reference'!$A$7:$D$906,2,0))</f>
        <v>Solanum dulcamara</v>
      </c>
      <c r="E45" s="217" t="e">
        <f aca="false">IF(D45="",0,VLOOKUP(D45,D$22:D44,1,0))</f>
        <v>#N/A</v>
      </c>
      <c r="F45" s="226" t="n">
        <f aca="false">($B45*$B$7+$C45*$C$7)/100</f>
        <v>0.027</v>
      </c>
      <c r="G45" s="219" t="str">
        <f aca="false">IF(A45="","",IF(ISERROR(VLOOKUP($A45,'[1]liste reference'!$A$7:$P$906,13,0)),IF(ISERROR(VLOOKUP($A45,'[1]liste reference'!$B$7:$P$906,12,0)),"    -",VLOOKUP($A45,'[1]liste reference'!$B$7:$P$906,12,0)),VLOOKUP($A45,'[1]liste reference'!$A$7:$P$906,13,0)))</f>
        <v>PHg</v>
      </c>
      <c r="H45" s="201" t="n">
        <f aca="false">IF(A45="","x",IF(ISERROR(VLOOKUP($A45,'[1]liste reference'!$A$7:$P$906,14,0)),IF(ISERROR(VLOOKUP($A45,'[1]liste reference'!$B$7:$P$906,13,0)),"x",VLOOKUP($A45,'[1]liste reference'!$B$7:$P$906,13,0)),VLOOKUP($A45,'[1]liste reference'!$A$7:$P$906,14,0)))</f>
        <v>9</v>
      </c>
      <c r="I45" s="220" t="str">
        <f aca="false">IF(ISNUMBER(H45),IF(ISERROR(VLOOKUP($A45,'[1]liste reference'!$A$7:$P$906,3,0)),IF(ISERROR(VLOOKUP($A45,'[1]liste reference'!$B$7:$P$906,2,0)),"",VLOOKUP($A45,'[1]liste reference'!$B$7:$P$906,2,0)),VLOOKUP($A45,'[1]liste reference'!$A$7:$P$906,3,0)),"")</f>
        <v/>
      </c>
      <c r="J45" s="203" t="str">
        <f aca="false">IF(ISNUMBER(H45),IF(ISERROR(VLOOKUP($A45,'[1]liste reference'!$A$7:$P$906,4,0)),IF(ISERROR(VLOOKUP($A45,'[1]liste reference'!$B$7:$P$906,3,0)),"",VLOOKUP($A45,'[1]liste reference'!$B$7:$P$906,3,0)),VLOOKUP($A45,'[1]liste reference'!$A$7:$P$906,4,0)),"")</f>
        <v/>
      </c>
      <c r="K45" s="221" t="str">
        <f aca="false">IF(A45="NEW.COD",AA45,IF(ISTEXT($E45),"DEJA SAISI !",IF(A45="","",IF(ISERROR(VLOOKUP($A45,'[1]liste reference'!$A$7:$D$906,2,0)),IF(ISERROR(VLOOKUP($A45,'[1]liste reference'!$B$7:$D$906,1,0)),"code non répertorié ou synonyme",VLOOKUP($A45,'[1]liste reference'!$B$7:$D$906,1,0)),VLOOKUP(A45,'[1]liste reference'!$A$7:$D$906,2,0)))))</f>
        <v>Solanum dulcamara</v>
      </c>
      <c r="L45" s="222"/>
      <c r="M45" s="222"/>
      <c r="N45" s="222"/>
      <c r="O45" s="206"/>
      <c r="P45" s="207" t="n">
        <f aca="false">IF(ISTEXT(H45),"",(B45*$B$7/100)+(C45*$C$7/100))</f>
        <v>0.027</v>
      </c>
      <c r="Q45" s="208" t="n">
        <f aca="false">IF(OR(ISTEXT(H45),P45=0),"",IF(P45&lt;0.1,1,IF(P45&lt;1,2,IF(P45&lt;10,3,IF(P45&lt;50,4,IF(P45&gt;=50,5,""))))))</f>
        <v>1</v>
      </c>
      <c r="R45" s="208" t="n">
        <f aca="false">IF(ISERROR(Q45*I45),0,Q45*I45)</f>
        <v>0</v>
      </c>
      <c r="S45" s="208" t="n">
        <f aca="false">IF(ISERROR(Q45*I45*J45),0,Q45*I45*J45)</f>
        <v>0</v>
      </c>
      <c r="T45" s="223" t="n">
        <f aca="false">IF(ISERROR(Q45*J45),0,Q45*J45)</f>
        <v>0</v>
      </c>
      <c r="U45" s="209" t="str">
        <f aca="false">IF(AND(A45="",F45=0),"",IF(F45=0,"Il manque le(s) % de rec. !",""))</f>
        <v/>
      </c>
      <c r="V45" s="210"/>
      <c r="X45" s="211" t="str">
        <f aca="false">IF(A45="new.cod","NEW.COD",IF(AND((Y45=""),ISTEXT(A45)),A45,IF(Y45="","",INDEX('[1]liste reference'!$A$7:$A$906,Y45))))</f>
        <v>SOA.DUL</v>
      </c>
      <c r="Y45" s="9" t="n">
        <f aca="false">IF(ISERROR(MATCH(A45,'[1]liste reference'!$A$7:$A$906,0)),IF(ISERROR(MATCH(A45,'[1]liste reference'!$B$7:$B$906,0)),"",(MATCH(A45,'[1]liste reference'!$B$7:$B$906,0))),(MATCH(A45,'[1]liste reference'!$A$7:$A$906,0)))</f>
        <v>831</v>
      </c>
      <c r="Z45" s="212"/>
      <c r="AA45" s="213"/>
      <c r="BB45" s="9" t="n">
        <f aca="false">IF(A45="","",1)</f>
        <v>1</v>
      </c>
    </row>
    <row r="46" customFormat="false" ht="12.75" hidden="false" customHeight="false" outlineLevel="0" collapsed="false">
      <c r="A46" s="214" t="s">
        <v>96</v>
      </c>
      <c r="B46" s="215"/>
      <c r="C46" s="216" t="n">
        <v>0.005</v>
      </c>
      <c r="D46" s="217" t="str">
        <f aca="false">IF(ISERROR(VLOOKUP($A46,'[1]liste reference'!$A$7:$D$906,2,0)),IF(ISERROR(VLOOKUP($A46,'[1]liste reference'!$B$7:$D$906,1,0)),"",VLOOKUP($A46,'[1]liste reference'!$B$7:$D$906,1,0)),VLOOKUP($A46,'[1]liste reference'!$A$7:$D$906,2,0))</f>
        <v>Rorippa palustris</v>
      </c>
      <c r="E46" s="217" t="e">
        <f aca="false">IF(D46="",0,VLOOKUP(D46,D$22:D45,1,0))</f>
        <v>#N/A</v>
      </c>
      <c r="F46" s="226" t="n">
        <f aca="false">($B46*$B$7+$C46*$C$7)/100</f>
        <v>0.0023</v>
      </c>
      <c r="G46" s="219" t="str">
        <f aca="false">IF(A46="","",IF(ISERROR(VLOOKUP($A46,'[1]liste reference'!$A$7:$P$906,13,0)),IF(ISERROR(VLOOKUP($A46,'[1]liste reference'!$B$7:$P$906,12,0)),"    -",VLOOKUP($A46,'[1]liste reference'!$B$7:$P$906,12,0)),VLOOKUP($A46,'[1]liste reference'!$A$7:$P$906,13,0)))</f>
        <v>PHx</v>
      </c>
      <c r="H46" s="201" t="n">
        <f aca="false">IF(A46="","x",IF(ISERROR(VLOOKUP($A46,'[1]liste reference'!$A$7:$P$906,14,0)),IF(ISERROR(VLOOKUP($A46,'[1]liste reference'!$B$7:$P$906,13,0)),"x",VLOOKUP($A46,'[1]liste reference'!$B$7:$P$906,13,0)),VLOOKUP($A46,'[1]liste reference'!$A$7:$P$906,14,0)))</f>
        <v>10</v>
      </c>
      <c r="I46" s="220" t="str">
        <f aca="false">IF(ISNUMBER(H46),IF(ISERROR(VLOOKUP($A46,'[1]liste reference'!$A$7:$P$906,3,0)),IF(ISERROR(VLOOKUP($A46,'[1]liste reference'!$B$7:$P$906,2,0)),"",VLOOKUP($A46,'[1]liste reference'!$B$7:$P$906,2,0)),VLOOKUP($A46,'[1]liste reference'!$A$7:$P$906,3,0)),"")</f>
        <v/>
      </c>
      <c r="J46" s="203" t="str">
        <f aca="false">IF(ISNUMBER(H46),IF(ISERROR(VLOOKUP($A46,'[1]liste reference'!$A$7:$P$906,4,0)),IF(ISERROR(VLOOKUP($A46,'[1]liste reference'!$B$7:$P$906,3,0)),"",VLOOKUP($A46,'[1]liste reference'!$B$7:$P$906,3,0)),VLOOKUP($A46,'[1]liste reference'!$A$7:$P$906,4,0)),"")</f>
        <v/>
      </c>
      <c r="K46" s="221" t="str">
        <f aca="false">IF(A46="NEW.COD",AA46,IF(ISTEXT($E46),"DEJA SAISI !",IF(A46="","",IF(ISERROR(VLOOKUP($A46,'[1]liste reference'!$A$7:$D$906,2,0)),IF(ISERROR(VLOOKUP($A46,'[1]liste reference'!$B$7:$D$906,1,0)),"code non répertorié ou synonyme",VLOOKUP($A46,'[1]liste reference'!$B$7:$D$906,1,0)),VLOOKUP(A46,'[1]liste reference'!$A$7:$D$906,2,0)))))</f>
        <v>Rorippa palustris</v>
      </c>
      <c r="L46" s="222"/>
      <c r="M46" s="222"/>
      <c r="N46" s="222"/>
      <c r="O46" s="206" t="s">
        <v>97</v>
      </c>
      <c r="P46" s="207" t="n">
        <f aca="false">IF(ISTEXT(H46),"",(B46*$B$7/100)+(C46*$C$7/100))</f>
        <v>0.0023</v>
      </c>
      <c r="Q46" s="208" t="n">
        <f aca="false">IF(OR(ISTEXT(H46),P46=0),"",IF(P46&lt;0.1,1,IF(P46&lt;1,2,IF(P46&lt;10,3,IF(P46&lt;50,4,IF(P46&gt;=50,5,""))))))</f>
        <v>1</v>
      </c>
      <c r="R46" s="208" t="n">
        <f aca="false">IF(ISERROR(Q46*I46),0,Q46*I46)</f>
        <v>0</v>
      </c>
      <c r="S46" s="208" t="n">
        <f aca="false">IF(ISERROR(Q46*I46*J46),0,Q46*I46*J46)</f>
        <v>0</v>
      </c>
      <c r="T46" s="223" t="n">
        <f aca="false">IF(ISERROR(Q46*J46),0,Q46*J46)</f>
        <v>0</v>
      </c>
      <c r="U46" s="209" t="str">
        <f aca="false">IF(AND(A46="",F46=0),"",IF(F46=0,"Il manque le(s) % de rec. !",""))</f>
        <v/>
      </c>
      <c r="V46" s="210"/>
      <c r="X46" s="211" t="str">
        <f aca="false">IF(A46="new.cod","NEW.COD",IF(AND((Y46=""),ISTEXT(A46)),A46,IF(Y46="","",INDEX('[1]liste reference'!$A$7:$A$906,Y46))))</f>
        <v>ROR.PAL</v>
      </c>
      <c r="Y46" s="9" t="n">
        <f aca="false">IF(ISERROR(MATCH(A46,'[1]liste reference'!$A$7:$A$906,0)),IF(ISERROR(MATCH(A46,'[1]liste reference'!$B$7:$B$906,0)),"",(MATCH(A46,'[1]liste reference'!$B$7:$B$906,0))),(MATCH(A46,'[1]liste reference'!$A$7:$A$906,0)))</f>
        <v>884</v>
      </c>
      <c r="Z46" s="212" t="s">
        <v>97</v>
      </c>
      <c r="AA46" s="213"/>
      <c r="BB46" s="9" t="n">
        <f aca="false">IF(A46="","",1)</f>
        <v>1</v>
      </c>
    </row>
    <row r="47" customFormat="false" ht="12.75" hidden="false" customHeight="false" outlineLevel="0" collapsed="false">
      <c r="A47" s="214"/>
      <c r="B47" s="215"/>
      <c r="C47" s="216"/>
      <c r="D47" s="217" t="str">
        <f aca="false">IF(ISERROR(VLOOKUP($A47,'[1]liste reference'!$A$7:$D$906,2,0)),IF(ISERROR(VLOOKUP($A47,'[1]liste reference'!$B$7:$D$906,1,0)),"",VLOOKUP($A47,'[1]liste reference'!$B$7:$D$906,1,0)),VLOOKUP($A47,'[1]liste reference'!$A$7:$D$906,2,0))</f>
        <v/>
      </c>
      <c r="E47" s="217" t="n">
        <f aca="false">IF(D47="",0,VLOOKUP(D47,D$22:D46,1,0))</f>
        <v>0</v>
      </c>
      <c r="F47" s="226" t="n">
        <f aca="false">($B47*$B$7+$C47*$C$7)/100</f>
        <v>0</v>
      </c>
      <c r="G47" s="219" t="str">
        <f aca="false">IF(A47="","",IF(ISERROR(VLOOKUP($A47,'[1]liste reference'!$A$7:$P$906,13,0)),IF(ISERROR(VLOOKUP($A47,'[1]liste reference'!$B$7:$P$906,12,0)),"    -",VLOOKUP($A47,'[1]liste reference'!$B$7:$P$906,12,0)),VLOOKUP($A47,'[1]liste reference'!$A$7:$P$906,13,0)))</f>
        <v/>
      </c>
      <c r="H47" s="201" t="str">
        <f aca="false">IF(A47="","x",IF(ISERROR(VLOOKUP($A47,'[1]liste reference'!$A$7:$P$906,14,0)),IF(ISERROR(VLOOKUP($A47,'[1]liste reference'!$B$7:$P$906,13,0)),"x",VLOOKUP($A47,'[1]liste reference'!$B$7:$P$906,13,0)),VLOOKUP($A47,'[1]liste reference'!$A$7:$P$906,14,0)))</f>
        <v>x</v>
      </c>
      <c r="I47" s="220" t="str">
        <f aca="false">IF(ISNUMBER(H47),IF(ISERROR(VLOOKUP($A47,'[1]liste reference'!$A$7:$P$906,3,0)),IF(ISERROR(VLOOKUP($A47,'[1]liste reference'!$B$7:$P$906,2,0)),"",VLOOKUP($A47,'[1]liste reference'!$B$7:$P$906,2,0)),VLOOKUP($A47,'[1]liste reference'!$A$7:$P$906,3,0)),"")</f>
        <v/>
      </c>
      <c r="J47" s="203" t="str">
        <f aca="false">IF(ISNUMBER(H47),IF(ISERROR(VLOOKUP($A47,'[1]liste reference'!$A$7:$P$906,4,0)),IF(ISERROR(VLOOKUP($A47,'[1]liste reference'!$B$7:$P$906,3,0)),"",VLOOKUP($A47,'[1]liste reference'!$B$7:$P$906,3,0)),VLOOKUP($A47,'[1]liste reference'!$A$7:$P$906,4,0)),"")</f>
        <v/>
      </c>
      <c r="K47" s="221" t="str">
        <f aca="false">IF(A47="NEW.COD",AA47,IF(ISTEXT($E47),"DEJA SAISI !",IF(A47="","",IF(ISERROR(VLOOKUP($A47,'[1]liste reference'!$A$7:$D$906,2,0)),IF(ISERROR(VLOOKUP($A47,'[1]liste reference'!$B$7:$D$906,1,0)),"code non répertorié ou synonyme",VLOOKUP($A47,'[1]liste reference'!$B$7:$D$906,1,0)),VLOOKUP(A47,'[1]liste reference'!$A$7:$D$906,2,0)))))</f>
        <v/>
      </c>
      <c r="L47" s="222"/>
      <c r="M47" s="222"/>
      <c r="N47" s="222"/>
      <c r="O47" s="206"/>
      <c r="P47" s="207" t="str">
        <f aca="false">IF(ISTEXT(H47),"",(B47*$B$7/100)+(C47*$C$7/100))</f>
        <v/>
      </c>
      <c r="Q47" s="208" t="str">
        <f aca="false">IF(OR(ISTEXT(H47),P47=0),"",IF(P47&lt;0.1,1,IF(P47&lt;1,2,IF(P47&lt;10,3,IF(P47&lt;50,4,IF(P47&gt;=50,5,""))))))</f>
        <v/>
      </c>
      <c r="R47" s="208" t="n">
        <f aca="false">IF(ISERROR(Q47*I47),0,Q47*I47)</f>
        <v>0</v>
      </c>
      <c r="S47" s="208" t="n">
        <f aca="false">IF(ISERROR(Q47*I47*J47),0,Q47*I47*J47)</f>
        <v>0</v>
      </c>
      <c r="T47" s="223" t="n">
        <f aca="false">IF(ISERROR(Q47*J47),0,Q47*J47)</f>
        <v>0</v>
      </c>
      <c r="U47" s="209" t="str">
        <f aca="false">IF(AND(A47="",F47=0),"",IF(F47=0,"Il manque le(s) % de rec. !",""))</f>
        <v/>
      </c>
      <c r="V47" s="210"/>
      <c r="X47" s="211" t="str">
        <f aca="false">IF(A47="new.cod","NEW.COD",IF(AND((Y47=""),ISTEXT(A47)),A47,IF(Y47="","",INDEX('[1]liste reference'!$A$7:$A$906,Y47))))</f>
        <v/>
      </c>
      <c r="Y47" s="9" t="str">
        <f aca="false">IF(ISERROR(MATCH(A47,'[1]liste reference'!$A$7:$A$906,0)),IF(ISERROR(MATCH(A47,'[1]liste reference'!$B$7:$B$906,0)),"",(MATCH(A47,'[1]liste reference'!$B$7:$B$906,0))),(MATCH(A47,'[1]liste reference'!$A$7:$A$906,0)))</f>
        <v/>
      </c>
      <c r="Z47" s="212"/>
      <c r="AA47" s="213"/>
      <c r="BB47" s="9" t="str">
        <f aca="false">IF(A47="","",1)</f>
        <v/>
      </c>
    </row>
    <row r="48" customFormat="false" ht="12.75" hidden="false" customHeight="false" outlineLevel="0" collapsed="false">
      <c r="A48" s="214"/>
      <c r="B48" s="215"/>
      <c r="C48" s="216"/>
      <c r="D48" s="217" t="str">
        <f aca="false">IF(ISERROR(VLOOKUP($A48,'[1]liste reference'!$A$7:$D$906,2,0)),IF(ISERROR(VLOOKUP($A48,'[1]liste reference'!$B$7:$D$906,1,0)),"",VLOOKUP($A48,'[1]liste reference'!$B$7:$D$906,1,0)),VLOOKUP($A48,'[1]liste reference'!$A$7:$D$906,2,0))</f>
        <v/>
      </c>
      <c r="E48" s="217" t="n">
        <f aca="false">IF(D48="",0,VLOOKUP(D48,D$22:D47,1,0))</f>
        <v>0</v>
      </c>
      <c r="F48" s="226" t="n">
        <f aca="false">($B48*$B$7+$C48*$C$7)/100</f>
        <v>0</v>
      </c>
      <c r="G48" s="219" t="str">
        <f aca="false">IF(A48="","",IF(ISERROR(VLOOKUP($A48,'[1]liste reference'!$A$7:$P$906,13,0)),IF(ISERROR(VLOOKUP($A48,'[1]liste reference'!$B$7:$P$906,12,0)),"    -",VLOOKUP($A48,'[1]liste reference'!$B$7:$P$906,12,0)),VLOOKUP($A48,'[1]liste reference'!$A$7:$P$906,13,0)))</f>
        <v/>
      </c>
      <c r="H48" s="201" t="str">
        <f aca="false">IF(A48="","x",IF(ISERROR(VLOOKUP($A48,'[1]liste reference'!$A$7:$P$906,14,0)),IF(ISERROR(VLOOKUP($A48,'[1]liste reference'!$B$7:$P$906,13,0)),"x",VLOOKUP($A48,'[1]liste reference'!$B$7:$P$906,13,0)),VLOOKUP($A48,'[1]liste reference'!$A$7:$P$906,14,0)))</f>
        <v>x</v>
      </c>
      <c r="I48" s="220" t="str">
        <f aca="false">IF(ISNUMBER(H48),IF(ISERROR(VLOOKUP($A48,'[1]liste reference'!$A$7:$P$906,3,0)),IF(ISERROR(VLOOKUP($A48,'[1]liste reference'!$B$7:$P$906,2,0)),"",VLOOKUP($A48,'[1]liste reference'!$B$7:$P$906,2,0)),VLOOKUP($A48,'[1]liste reference'!$A$7:$P$906,3,0)),"")</f>
        <v/>
      </c>
      <c r="J48" s="203" t="str">
        <f aca="false">IF(ISNUMBER(H48),IF(ISERROR(VLOOKUP($A48,'[1]liste reference'!$A$7:$P$906,4,0)),IF(ISERROR(VLOOKUP($A48,'[1]liste reference'!$B$7:$P$906,3,0)),"",VLOOKUP($A48,'[1]liste reference'!$B$7:$P$906,3,0)),VLOOKUP($A48,'[1]liste reference'!$A$7:$P$906,4,0)),"")</f>
        <v/>
      </c>
      <c r="K48" s="221" t="str">
        <f aca="false">IF(A48="NEW.COD",AA48,IF(ISTEXT($E48),"DEJA SAISI !",IF(A48="","",IF(ISERROR(VLOOKUP($A48,'[1]liste reference'!$A$7:$D$906,2,0)),IF(ISERROR(VLOOKUP($A48,'[1]liste reference'!$B$7:$D$906,1,0)),"code non répertorié ou synonyme",VLOOKUP($A48,'[1]liste reference'!$B$7:$D$906,1,0)),VLOOKUP(A48,'[1]liste reference'!$A$7:$D$906,2,0)))))</f>
        <v/>
      </c>
      <c r="L48" s="222"/>
      <c r="M48" s="222"/>
      <c r="N48" s="222"/>
      <c r="O48" s="206"/>
      <c r="P48" s="207" t="str">
        <f aca="false">IF(ISTEXT(H48),"",(B48*$B$7/100)+(C48*$C$7/100))</f>
        <v/>
      </c>
      <c r="Q48" s="208" t="str">
        <f aca="false">IF(OR(ISTEXT(H48),P48=0),"",IF(P48&lt;0.1,1,IF(P48&lt;1,2,IF(P48&lt;10,3,IF(P48&lt;50,4,IF(P48&gt;=50,5,""))))))</f>
        <v/>
      </c>
      <c r="R48" s="208" t="n">
        <f aca="false">IF(ISERROR(Q48*I48),0,Q48*I48)</f>
        <v>0</v>
      </c>
      <c r="S48" s="208" t="n">
        <f aca="false">IF(ISERROR(Q48*I48*J48),0,Q48*I48*J48)</f>
        <v>0</v>
      </c>
      <c r="T48" s="223" t="n">
        <f aca="false">IF(ISERROR(Q48*J48),0,Q48*J48)</f>
        <v>0</v>
      </c>
      <c r="U48" s="209" t="str">
        <f aca="false">IF(AND(A48="",F48=0),"",IF(F48=0,"Il manque le(s) % de rec. !",""))</f>
        <v/>
      </c>
      <c r="V48" s="210"/>
      <c r="X48" s="211" t="str">
        <f aca="false">IF(A48="new.cod","NEW.COD",IF(AND((Y48=""),ISTEXT(A48)),A48,IF(Y48="","",INDEX('[1]liste reference'!$A$7:$A$906,Y48))))</f>
        <v/>
      </c>
      <c r="Y48" s="9" t="str">
        <f aca="false">IF(ISERROR(MATCH(A48,'[1]liste reference'!$A$7:$A$906,0)),IF(ISERROR(MATCH(A48,'[1]liste reference'!$B$7:$B$906,0)),"",(MATCH(A48,'[1]liste reference'!$B$7:$B$906,0))),(MATCH(A48,'[1]liste reference'!$A$7:$A$906,0)))</f>
        <v/>
      </c>
      <c r="Z48" s="212"/>
      <c r="AA48" s="213"/>
      <c r="BB48" s="9" t="str">
        <f aca="false">IF(A48="","",1)</f>
        <v/>
      </c>
    </row>
    <row r="49" customFormat="false" ht="12.75" hidden="false" customHeight="false" outlineLevel="0" collapsed="false">
      <c r="A49" s="214"/>
      <c r="B49" s="215"/>
      <c r="C49" s="216"/>
      <c r="D49" s="217" t="str">
        <f aca="false">IF(ISERROR(VLOOKUP($A49,'[1]liste reference'!$A$7:$D$906,2,0)),IF(ISERROR(VLOOKUP($A49,'[1]liste reference'!$B$7:$D$906,1,0)),"",VLOOKUP($A49,'[1]liste reference'!$B$7:$D$906,1,0)),VLOOKUP($A49,'[1]liste reference'!$A$7:$D$906,2,0))</f>
        <v/>
      </c>
      <c r="E49" s="217" t="n">
        <f aca="false">IF(D49="",0,VLOOKUP(D49,D$22:D48,1,0))</f>
        <v>0</v>
      </c>
      <c r="F49" s="226" t="n">
        <f aca="false">($B49*$B$7+$C49*$C$7)/100</f>
        <v>0</v>
      </c>
      <c r="G49" s="219" t="str">
        <f aca="false">IF(A49="","",IF(ISERROR(VLOOKUP($A49,'[1]liste reference'!$A$7:$P$906,13,0)),IF(ISERROR(VLOOKUP($A49,'[1]liste reference'!$B$7:$P$906,12,0)),"    -",VLOOKUP($A49,'[1]liste reference'!$B$7:$P$906,12,0)),VLOOKUP($A49,'[1]liste reference'!$A$7:$P$906,13,0)))</f>
        <v/>
      </c>
      <c r="H49" s="201" t="str">
        <f aca="false">IF(A49="","x",IF(ISERROR(VLOOKUP($A49,'[1]liste reference'!$A$7:$P$906,14,0)),IF(ISERROR(VLOOKUP($A49,'[1]liste reference'!$B$7:$P$906,13,0)),"x",VLOOKUP($A49,'[1]liste reference'!$B$7:$P$906,13,0)),VLOOKUP($A49,'[1]liste reference'!$A$7:$P$906,14,0)))</f>
        <v>x</v>
      </c>
      <c r="I49" s="220" t="str">
        <f aca="false">IF(ISNUMBER(H49),IF(ISERROR(VLOOKUP($A49,'[1]liste reference'!$A$7:$P$906,3,0)),IF(ISERROR(VLOOKUP($A49,'[1]liste reference'!$B$7:$P$906,2,0)),"",VLOOKUP($A49,'[1]liste reference'!$B$7:$P$906,2,0)),VLOOKUP($A49,'[1]liste reference'!$A$7:$P$906,3,0)),"")</f>
        <v/>
      </c>
      <c r="J49" s="203" t="str">
        <f aca="false">IF(ISNUMBER(H49),IF(ISERROR(VLOOKUP($A49,'[1]liste reference'!$A$7:$P$906,4,0)),IF(ISERROR(VLOOKUP($A49,'[1]liste reference'!$B$7:$P$906,3,0)),"",VLOOKUP($A49,'[1]liste reference'!$B$7:$P$906,3,0)),VLOOKUP($A49,'[1]liste reference'!$A$7:$P$906,4,0)),"")</f>
        <v/>
      </c>
      <c r="K49" s="221" t="str">
        <f aca="false">IF(A49="NEW.COD",AA49,IF(ISTEXT($E49),"DEJA SAISI !",IF(A49="","",IF(ISERROR(VLOOKUP($A49,'[1]liste reference'!$A$7:$D$906,2,0)),IF(ISERROR(VLOOKUP($A49,'[1]liste reference'!$B$7:$D$906,1,0)),"code non répertorié ou synonyme",VLOOKUP($A49,'[1]liste reference'!$B$7:$D$906,1,0)),VLOOKUP(A49,'[1]liste reference'!$A$7:$D$906,2,0)))))</f>
        <v/>
      </c>
      <c r="L49" s="222"/>
      <c r="M49" s="222"/>
      <c r="N49" s="222"/>
      <c r="O49" s="206"/>
      <c r="P49" s="207" t="str">
        <f aca="false">IF(ISTEXT(H49),"",(B49*$B$7/100)+(C49*$C$7/100))</f>
        <v/>
      </c>
      <c r="Q49" s="208" t="str">
        <f aca="false">IF(OR(ISTEXT(H49),P49=0),"",IF(P49&lt;0.1,1,IF(P49&lt;1,2,IF(P49&lt;10,3,IF(P49&lt;50,4,IF(P49&gt;=50,5,""))))))</f>
        <v/>
      </c>
      <c r="R49" s="208" t="n">
        <f aca="false">IF(ISERROR(Q49*I49),0,Q49*I49)</f>
        <v>0</v>
      </c>
      <c r="S49" s="208" t="n">
        <f aca="false">IF(ISERROR(Q49*I49*J49),0,Q49*I49*J49)</f>
        <v>0</v>
      </c>
      <c r="T49" s="223" t="n">
        <f aca="false">IF(ISERROR(Q49*J49),0,Q49*J49)</f>
        <v>0</v>
      </c>
      <c r="U49" s="209" t="str">
        <f aca="false">IF(AND(A49="",F49=0),"",IF(F49=0,"Il manque le(s) % de rec. !",""))</f>
        <v/>
      </c>
      <c r="V49" s="210"/>
      <c r="X49" s="211" t="str">
        <f aca="false">IF(A49="new.cod","NEW.COD",IF(AND((Y49=""),ISTEXT(A49)),A49,IF(Y49="","",INDEX('[1]liste reference'!$A$7:$A$906,Y49))))</f>
        <v/>
      </c>
      <c r="Y49" s="9" t="str">
        <f aca="false">IF(ISERROR(MATCH(A49,'[1]liste reference'!$A$7:$A$906,0)),IF(ISERROR(MATCH(A49,'[1]liste reference'!$B$7:$B$906,0)),"",(MATCH(A49,'[1]liste reference'!$B$7:$B$906,0))),(MATCH(A49,'[1]liste reference'!$A$7:$A$906,0)))</f>
        <v/>
      </c>
      <c r="Z49" s="212"/>
      <c r="AA49" s="213"/>
      <c r="BB49" s="9" t="str">
        <f aca="false">IF(A49="","",1)</f>
        <v/>
      </c>
    </row>
    <row r="50" customFormat="false" ht="12.75" hidden="false" customHeight="false" outlineLevel="0" collapsed="false">
      <c r="A50" s="214"/>
      <c r="B50" s="215"/>
      <c r="C50" s="216"/>
      <c r="D50" s="217" t="str">
        <f aca="false">IF(ISERROR(VLOOKUP($A50,'[1]liste reference'!$A$7:$D$906,2,0)),IF(ISERROR(VLOOKUP($A50,'[1]liste reference'!$B$7:$D$906,1,0)),"",VLOOKUP($A50,'[1]liste reference'!$B$7:$D$906,1,0)),VLOOKUP($A50,'[1]liste reference'!$A$7:$D$906,2,0))</f>
        <v/>
      </c>
      <c r="E50" s="217" t="n">
        <f aca="false">IF(D50="",0,VLOOKUP(D50,D$22:D49,1,0))</f>
        <v>0</v>
      </c>
      <c r="F50" s="226" t="n">
        <f aca="false">($B50*$B$7+$C50*$C$7)/100</f>
        <v>0</v>
      </c>
      <c r="G50" s="219" t="str">
        <f aca="false">IF(A50="","",IF(ISERROR(VLOOKUP($A50,'[1]liste reference'!$A$7:$P$906,13,0)),IF(ISERROR(VLOOKUP($A50,'[1]liste reference'!$B$7:$P$906,12,0)),"    -",VLOOKUP($A50,'[1]liste reference'!$B$7:$P$906,12,0)),VLOOKUP($A50,'[1]liste reference'!$A$7:$P$906,13,0)))</f>
        <v/>
      </c>
      <c r="H50" s="201" t="str">
        <f aca="false">IF(A50="","x",IF(ISERROR(VLOOKUP($A50,'[1]liste reference'!$A$7:$P$906,14,0)),IF(ISERROR(VLOOKUP($A50,'[1]liste reference'!$B$7:$P$906,13,0)),"x",VLOOKUP($A50,'[1]liste reference'!$B$7:$P$906,13,0)),VLOOKUP($A50,'[1]liste reference'!$A$7:$P$906,14,0)))</f>
        <v>x</v>
      </c>
      <c r="I50" s="220" t="str">
        <f aca="false">IF(ISNUMBER(H50),IF(ISERROR(VLOOKUP($A50,'[1]liste reference'!$A$7:$P$906,3,0)),IF(ISERROR(VLOOKUP($A50,'[1]liste reference'!$B$7:$P$906,2,0)),"",VLOOKUP($A50,'[1]liste reference'!$B$7:$P$906,2,0)),VLOOKUP($A50,'[1]liste reference'!$A$7:$P$906,3,0)),"")</f>
        <v/>
      </c>
      <c r="J50" s="203" t="str">
        <f aca="false">IF(ISNUMBER(H50),IF(ISERROR(VLOOKUP($A50,'[1]liste reference'!$A$7:$P$906,4,0)),IF(ISERROR(VLOOKUP($A50,'[1]liste reference'!$B$7:$P$906,3,0)),"",VLOOKUP($A50,'[1]liste reference'!$B$7:$P$906,3,0)),VLOOKUP($A50,'[1]liste reference'!$A$7:$P$906,4,0)),"")</f>
        <v/>
      </c>
      <c r="K50" s="221" t="str">
        <f aca="false">IF(A50="NEW.COD",AA50,IF(ISTEXT($E50),"DEJA SAISI !",IF(A50="","",IF(ISERROR(VLOOKUP($A50,'[1]liste reference'!$A$7:$D$906,2,0)),IF(ISERROR(VLOOKUP($A50,'[1]liste reference'!$B$7:$D$906,1,0)),"code non répertorié ou synonyme",VLOOKUP($A50,'[1]liste reference'!$B$7:$D$906,1,0)),VLOOKUP(A50,'[1]liste reference'!$A$7:$D$906,2,0)))))</f>
        <v/>
      </c>
      <c r="L50" s="222"/>
      <c r="M50" s="222"/>
      <c r="N50" s="222"/>
      <c r="O50" s="206"/>
      <c r="P50" s="207" t="str">
        <f aca="false">IF(ISTEXT(H50),"",(B50*$B$7/100)+(C50*$C$7/100))</f>
        <v/>
      </c>
      <c r="Q50" s="208" t="str">
        <f aca="false">IF(OR(ISTEXT(H50),P50=0),"",IF(P50&lt;0.1,1,IF(P50&lt;1,2,IF(P50&lt;10,3,IF(P50&lt;50,4,IF(P50&gt;=50,5,""))))))</f>
        <v/>
      </c>
      <c r="R50" s="208" t="n">
        <f aca="false">IF(ISERROR(Q50*I50),0,Q50*I50)</f>
        <v>0</v>
      </c>
      <c r="S50" s="208" t="n">
        <f aca="false">IF(ISERROR(Q50*I50*J50),0,Q50*I50*J50)</f>
        <v>0</v>
      </c>
      <c r="T50" s="223" t="n">
        <f aca="false">IF(ISERROR(Q50*J50),0,Q50*J50)</f>
        <v>0</v>
      </c>
      <c r="U50" s="209" t="str">
        <f aca="false">IF(AND(A50="",F50=0),"",IF(F50=0,"Il manque le(s) % de rec. !",""))</f>
        <v/>
      </c>
      <c r="V50" s="210"/>
      <c r="X50" s="211" t="str">
        <f aca="false">IF(A50="new.cod","NEW.COD",IF(AND((Y50=""),ISTEXT(A50)),A50,IF(Y50="","",INDEX('[1]liste reference'!$A$7:$A$906,Y50))))</f>
        <v/>
      </c>
      <c r="Y50" s="9" t="str">
        <f aca="false">IF(ISERROR(MATCH(A50,'[1]liste reference'!$A$7:$A$906,0)),IF(ISERROR(MATCH(A50,'[1]liste reference'!$B$7:$B$906,0)),"",(MATCH(A50,'[1]liste reference'!$B$7:$B$906,0))),(MATCH(A50,'[1]liste reference'!$A$7:$A$906,0)))</f>
        <v/>
      </c>
      <c r="Z50" s="212"/>
      <c r="AA50" s="213"/>
      <c r="BB50" s="9" t="str">
        <f aca="false">IF(A50="","",1)</f>
        <v/>
      </c>
    </row>
    <row r="51" customFormat="false" ht="12.75" hidden="false" customHeight="false" outlineLevel="0" collapsed="false">
      <c r="A51" s="214"/>
      <c r="B51" s="215"/>
      <c r="C51" s="216"/>
      <c r="D51" s="217" t="str">
        <f aca="false">IF(ISERROR(VLOOKUP($A51,'[1]liste reference'!$A$7:$D$906,2,0)),IF(ISERROR(VLOOKUP($A51,'[1]liste reference'!$B$7:$D$906,1,0)),"",VLOOKUP($A51,'[1]liste reference'!$B$7:$D$906,1,0)),VLOOKUP($A51,'[1]liste reference'!$A$7:$D$906,2,0))</f>
        <v/>
      </c>
      <c r="E51" s="217" t="n">
        <f aca="false">IF(D51="",0,VLOOKUP(D51,D$22:D50,1,0))</f>
        <v>0</v>
      </c>
      <c r="F51" s="226" t="n">
        <f aca="false">($B51*$B$7+$C51*$C$7)/100</f>
        <v>0</v>
      </c>
      <c r="G51" s="219" t="str">
        <f aca="false">IF(A51="","",IF(ISERROR(VLOOKUP($A51,'[1]liste reference'!$A$7:$P$906,13,0)),IF(ISERROR(VLOOKUP($A51,'[1]liste reference'!$B$7:$P$906,12,0)),"    -",VLOOKUP($A51,'[1]liste reference'!$B$7:$P$906,12,0)),VLOOKUP($A51,'[1]liste reference'!$A$7:$P$906,13,0)))</f>
        <v/>
      </c>
      <c r="H51" s="201" t="str">
        <f aca="false">IF(A51="","x",IF(ISERROR(VLOOKUP($A51,'[1]liste reference'!$A$7:$P$906,14,0)),IF(ISERROR(VLOOKUP($A51,'[1]liste reference'!$B$7:$P$906,13,0)),"x",VLOOKUP($A51,'[1]liste reference'!$B$7:$P$906,13,0)),VLOOKUP($A51,'[1]liste reference'!$A$7:$P$906,14,0)))</f>
        <v>x</v>
      </c>
      <c r="I51" s="220" t="str">
        <f aca="false">IF(ISNUMBER(H51),IF(ISERROR(VLOOKUP($A51,'[1]liste reference'!$A$7:$P$906,3,0)),IF(ISERROR(VLOOKUP($A51,'[1]liste reference'!$B$7:$P$906,2,0)),"",VLOOKUP($A51,'[1]liste reference'!$B$7:$P$906,2,0)),VLOOKUP($A51,'[1]liste reference'!$A$7:$P$906,3,0)),"")</f>
        <v/>
      </c>
      <c r="J51" s="203" t="str">
        <f aca="false">IF(ISNUMBER(H51),IF(ISERROR(VLOOKUP($A51,'[1]liste reference'!$A$7:$P$906,4,0)),IF(ISERROR(VLOOKUP($A51,'[1]liste reference'!$B$7:$P$906,3,0)),"",VLOOKUP($A51,'[1]liste reference'!$B$7:$P$906,3,0)),VLOOKUP($A51,'[1]liste reference'!$A$7:$P$906,4,0)),"")</f>
        <v/>
      </c>
      <c r="K51" s="221" t="str">
        <f aca="false">IF(A51="NEW.COD",AA51,IF(ISTEXT($E51),"DEJA SAISI !",IF(A51="","",IF(ISERROR(VLOOKUP($A51,'[1]liste reference'!$A$7:$D$906,2,0)),IF(ISERROR(VLOOKUP($A51,'[1]liste reference'!$B$7:$D$906,1,0)),"code non répertorié ou synonyme",VLOOKUP($A51,'[1]liste reference'!$B$7:$D$906,1,0)),VLOOKUP(A51,'[1]liste reference'!$A$7:$D$906,2,0)))))</f>
        <v/>
      </c>
      <c r="L51" s="222"/>
      <c r="M51" s="222"/>
      <c r="N51" s="222"/>
      <c r="O51" s="206"/>
      <c r="P51" s="207" t="str">
        <f aca="false">IF(ISTEXT(H51),"",(B51*$B$7/100)+(C51*$C$7/100))</f>
        <v/>
      </c>
      <c r="Q51" s="208" t="str">
        <f aca="false">IF(OR(ISTEXT(H51),P51=0),"",IF(P51&lt;0.1,1,IF(P51&lt;1,2,IF(P51&lt;10,3,IF(P51&lt;50,4,IF(P51&gt;=50,5,""))))))</f>
        <v/>
      </c>
      <c r="R51" s="208" t="n">
        <f aca="false">IF(ISERROR(Q51*I51),0,Q51*I51)</f>
        <v>0</v>
      </c>
      <c r="S51" s="208" t="n">
        <f aca="false">IF(ISERROR(Q51*I51*J51),0,Q51*I51*J51)</f>
        <v>0</v>
      </c>
      <c r="T51" s="223" t="n">
        <f aca="false">IF(ISERROR(Q51*J51),0,Q51*J51)</f>
        <v>0</v>
      </c>
      <c r="U51" s="209" t="str">
        <f aca="false">IF(AND(A51="",F51=0),"",IF(F51=0,"Il manque le(s) % de rec. !",""))</f>
        <v/>
      </c>
      <c r="V51" s="210"/>
      <c r="X51" s="211" t="str">
        <f aca="false">IF(A51="new.cod","NEW.COD",IF(AND((Y51=""),ISTEXT(A51)),A51,IF(Y51="","",INDEX('[1]liste reference'!$A$7:$A$906,Y51))))</f>
        <v/>
      </c>
      <c r="Y51" s="9" t="str">
        <f aca="false">IF(ISERROR(MATCH(A51,'[1]liste reference'!$A$7:$A$906,0)),IF(ISERROR(MATCH(A51,'[1]liste reference'!$B$7:$B$906,0)),"",(MATCH(A51,'[1]liste reference'!$B$7:$B$906,0))),(MATCH(A51,'[1]liste reference'!$A$7:$A$906,0)))</f>
        <v/>
      </c>
      <c r="Z51" s="212"/>
      <c r="AA51" s="213"/>
      <c r="BB51" s="9" t="str">
        <f aca="false">IF(A51="","",1)</f>
        <v/>
      </c>
    </row>
    <row r="52" customFormat="false" ht="12.75" hidden="false" customHeight="false" outlineLevel="0" collapsed="false">
      <c r="A52" s="214"/>
      <c r="B52" s="215"/>
      <c r="C52" s="216"/>
      <c r="D52" s="217" t="str">
        <f aca="false">IF(ISERROR(VLOOKUP($A52,'[1]liste reference'!$A$7:$D$906,2,0)),IF(ISERROR(VLOOKUP($A52,'[1]liste reference'!$B$7:$D$906,1,0)),"",VLOOKUP($A52,'[1]liste reference'!$B$7:$D$906,1,0)),VLOOKUP($A52,'[1]liste reference'!$A$7:$D$906,2,0))</f>
        <v/>
      </c>
      <c r="E52" s="217" t="n">
        <f aca="false">IF(D52="",0,VLOOKUP(D52,D$22:D51,1,0))</f>
        <v>0</v>
      </c>
      <c r="F52" s="226" t="n">
        <f aca="false">($B52*$B$7+$C52*$C$7)/100</f>
        <v>0</v>
      </c>
      <c r="G52" s="219" t="str">
        <f aca="false">IF(A52="","",IF(ISERROR(VLOOKUP($A52,'[1]liste reference'!$A$7:$P$906,13,0)),IF(ISERROR(VLOOKUP($A52,'[1]liste reference'!$B$7:$P$906,12,0)),"    -",VLOOKUP($A52,'[1]liste reference'!$B$7:$P$906,12,0)),VLOOKUP($A52,'[1]liste reference'!$A$7:$P$906,13,0)))</f>
        <v/>
      </c>
      <c r="H52" s="201" t="str">
        <f aca="false">IF(A52="","x",IF(ISERROR(VLOOKUP($A52,'[1]liste reference'!$A$7:$P$906,14,0)),IF(ISERROR(VLOOKUP($A52,'[1]liste reference'!$B$7:$P$906,13,0)),"x",VLOOKUP($A52,'[1]liste reference'!$B$7:$P$906,13,0)),VLOOKUP($A52,'[1]liste reference'!$A$7:$P$906,14,0)))</f>
        <v>x</v>
      </c>
      <c r="I52" s="220" t="str">
        <f aca="false">IF(ISNUMBER(H52),IF(ISERROR(VLOOKUP($A52,'[1]liste reference'!$A$7:$P$906,3,0)),IF(ISERROR(VLOOKUP($A52,'[1]liste reference'!$B$7:$P$906,2,0)),"",VLOOKUP($A52,'[1]liste reference'!$B$7:$P$906,2,0)),VLOOKUP($A52,'[1]liste reference'!$A$7:$P$906,3,0)),"")</f>
        <v/>
      </c>
      <c r="J52" s="203" t="str">
        <f aca="false">IF(ISNUMBER(H52),IF(ISERROR(VLOOKUP($A52,'[1]liste reference'!$A$7:$P$906,4,0)),IF(ISERROR(VLOOKUP($A52,'[1]liste reference'!$B$7:$P$906,3,0)),"",VLOOKUP($A52,'[1]liste reference'!$B$7:$P$906,3,0)),VLOOKUP($A52,'[1]liste reference'!$A$7:$P$906,4,0)),"")</f>
        <v/>
      </c>
      <c r="K52" s="221" t="str">
        <f aca="false">IF(A52="NEW.COD",AA52,IF(ISTEXT($E52),"DEJA SAISI !",IF(A52="","",IF(ISERROR(VLOOKUP($A52,'[1]liste reference'!$A$7:$D$906,2,0)),IF(ISERROR(VLOOKUP($A52,'[1]liste reference'!$B$7:$D$906,1,0)),"code non répertorié ou synonyme",VLOOKUP($A52,'[1]liste reference'!$B$7:$D$906,1,0)),VLOOKUP(A52,'[1]liste reference'!$A$7:$D$906,2,0)))))</f>
        <v/>
      </c>
      <c r="L52" s="222"/>
      <c r="M52" s="222"/>
      <c r="N52" s="222"/>
      <c r="O52" s="206"/>
      <c r="P52" s="207" t="str">
        <f aca="false">IF(ISTEXT(H52),"",(B52*$B$7/100)+(C52*$C$7/100))</f>
        <v/>
      </c>
      <c r="Q52" s="208" t="str">
        <f aca="false">IF(OR(ISTEXT(H52),P52=0),"",IF(P52&lt;0.1,1,IF(P52&lt;1,2,IF(P52&lt;10,3,IF(P52&lt;50,4,IF(P52&gt;=50,5,""))))))</f>
        <v/>
      </c>
      <c r="R52" s="208" t="n">
        <f aca="false">IF(ISERROR(Q52*I52),0,Q52*I52)</f>
        <v>0</v>
      </c>
      <c r="S52" s="208" t="n">
        <f aca="false">IF(ISERROR(Q52*I52*J52),0,Q52*I52*J52)</f>
        <v>0</v>
      </c>
      <c r="T52" s="223" t="n">
        <f aca="false">IF(ISERROR(Q52*J52),0,Q52*J52)</f>
        <v>0</v>
      </c>
      <c r="U52" s="209" t="str">
        <f aca="false">IF(AND(A52="",F52=0),"",IF(F52=0,"Il manque le(s) % de rec. !",""))</f>
        <v/>
      </c>
      <c r="V52" s="210"/>
      <c r="X52" s="211" t="str">
        <f aca="false">IF(A52="new.cod","NEW.COD",IF(AND((Y52=""),ISTEXT(A52)),A52,IF(Y52="","",INDEX('[1]liste reference'!$A$7:$A$906,Y52))))</f>
        <v/>
      </c>
      <c r="Y52" s="9" t="str">
        <f aca="false">IF(ISERROR(MATCH(A52,'[1]liste reference'!$A$7:$A$906,0)),IF(ISERROR(MATCH(A52,'[1]liste reference'!$B$7:$B$906,0)),"",(MATCH(A52,'[1]liste reference'!$B$7:$B$906,0))),(MATCH(A52,'[1]liste reference'!$A$7:$A$906,0)))</f>
        <v/>
      </c>
      <c r="Z52" s="212"/>
      <c r="AA52" s="213"/>
      <c r="BB52" s="9" t="str">
        <f aca="false">IF(A52="","",1)</f>
        <v/>
      </c>
    </row>
    <row r="53" customFormat="false" ht="12.75" hidden="false" customHeight="false" outlineLevel="0" collapsed="false">
      <c r="A53" s="214"/>
      <c r="B53" s="215"/>
      <c r="C53" s="216"/>
      <c r="D53" s="217" t="str">
        <f aca="false">IF(ISERROR(VLOOKUP($A53,'[1]liste reference'!$A$7:$D$906,2,0)),IF(ISERROR(VLOOKUP($A53,'[1]liste reference'!$B$7:$D$906,1,0)),"",VLOOKUP($A53,'[1]liste reference'!$B$7:$D$906,1,0)),VLOOKUP($A53,'[1]liste reference'!$A$7:$D$906,2,0))</f>
        <v/>
      </c>
      <c r="E53" s="217" t="n">
        <f aca="false">IF(D53="",0,VLOOKUP(D53,D$22:D52,1,0))</f>
        <v>0</v>
      </c>
      <c r="F53" s="226" t="n">
        <f aca="false">($B53*$B$7+$C53*$C$7)/100</f>
        <v>0</v>
      </c>
      <c r="G53" s="219" t="str">
        <f aca="false">IF(A53="","",IF(ISERROR(VLOOKUP($A53,'[1]liste reference'!$A$7:$P$906,13,0)),IF(ISERROR(VLOOKUP($A53,'[1]liste reference'!$B$7:$P$906,12,0)),"    -",VLOOKUP($A53,'[1]liste reference'!$B$7:$P$906,12,0)),VLOOKUP($A53,'[1]liste reference'!$A$7:$P$906,13,0)))</f>
        <v/>
      </c>
      <c r="H53" s="201" t="str">
        <f aca="false">IF(A53="","x",IF(ISERROR(VLOOKUP($A53,'[1]liste reference'!$A$7:$P$906,14,0)),IF(ISERROR(VLOOKUP($A53,'[1]liste reference'!$B$7:$P$906,13,0)),"x",VLOOKUP($A53,'[1]liste reference'!$B$7:$P$906,13,0)),VLOOKUP($A53,'[1]liste reference'!$A$7:$P$906,14,0)))</f>
        <v>x</v>
      </c>
      <c r="I53" s="220" t="str">
        <f aca="false">IF(ISNUMBER(H53),IF(ISERROR(VLOOKUP($A53,'[1]liste reference'!$A$7:$P$906,3,0)),IF(ISERROR(VLOOKUP($A53,'[1]liste reference'!$B$7:$P$906,2,0)),"",VLOOKUP($A53,'[1]liste reference'!$B$7:$P$906,2,0)),VLOOKUP($A53,'[1]liste reference'!$A$7:$P$906,3,0)),"")</f>
        <v/>
      </c>
      <c r="J53" s="203" t="str">
        <f aca="false">IF(ISNUMBER(H53),IF(ISERROR(VLOOKUP($A53,'[1]liste reference'!$A$7:$P$906,4,0)),IF(ISERROR(VLOOKUP($A53,'[1]liste reference'!$B$7:$P$906,3,0)),"",VLOOKUP($A53,'[1]liste reference'!$B$7:$P$906,3,0)),VLOOKUP($A53,'[1]liste reference'!$A$7:$P$906,4,0)),"")</f>
        <v/>
      </c>
      <c r="K53" s="221" t="str">
        <f aca="false">IF(A53="NEW.COD",AA53,IF(ISTEXT($E53),"DEJA SAISI !",IF(A53="","",IF(ISERROR(VLOOKUP($A53,'[1]liste reference'!$A$7:$D$906,2,0)),IF(ISERROR(VLOOKUP($A53,'[1]liste reference'!$B$7:$D$906,1,0)),"code non répertorié ou synonyme",VLOOKUP($A53,'[1]liste reference'!$B$7:$D$906,1,0)),VLOOKUP(A53,'[1]liste reference'!$A$7:$D$906,2,0)))))</f>
        <v/>
      </c>
      <c r="L53" s="222"/>
      <c r="M53" s="222"/>
      <c r="N53" s="222"/>
      <c r="O53" s="206"/>
      <c r="P53" s="207" t="str">
        <f aca="false">IF(ISTEXT(H53),"",(B53*$B$7/100)+(C53*$C$7/100))</f>
        <v/>
      </c>
      <c r="Q53" s="208" t="str">
        <f aca="false">IF(OR(ISTEXT(H53),P53=0),"",IF(P53&lt;0.1,1,IF(P53&lt;1,2,IF(P53&lt;10,3,IF(P53&lt;50,4,IF(P53&gt;=50,5,""))))))</f>
        <v/>
      </c>
      <c r="R53" s="208" t="n">
        <f aca="false">IF(ISERROR(Q53*I53),0,Q53*I53)</f>
        <v>0</v>
      </c>
      <c r="S53" s="208" t="n">
        <f aca="false">IF(ISERROR(Q53*I53*J53),0,Q53*I53*J53)</f>
        <v>0</v>
      </c>
      <c r="T53" s="223" t="n">
        <f aca="false">IF(ISERROR(Q53*J53),0,Q53*J53)</f>
        <v>0</v>
      </c>
      <c r="U53" s="209" t="str">
        <f aca="false">IF(AND(A53="",F53=0),"",IF(F53=0,"Il manque le(s) % de rec. !",""))</f>
        <v/>
      </c>
      <c r="V53" s="210"/>
      <c r="X53" s="211" t="str">
        <f aca="false">IF(A53="new.cod","NEW.COD",IF(AND((Y53=""),ISTEXT(A53)),A53,IF(Y53="","",INDEX('[1]liste reference'!$A$7:$A$906,Y53))))</f>
        <v/>
      </c>
      <c r="Y53" s="9" t="str">
        <f aca="false">IF(ISERROR(MATCH(A53,'[1]liste reference'!$A$7:$A$906,0)),IF(ISERROR(MATCH(A53,'[1]liste reference'!$B$7:$B$906,0)),"",(MATCH(A53,'[1]liste reference'!$B$7:$B$906,0))),(MATCH(A53,'[1]liste reference'!$A$7:$A$906,0)))</f>
        <v/>
      </c>
      <c r="Z53" s="212"/>
      <c r="AA53" s="213"/>
      <c r="BB53" s="9" t="str">
        <f aca="false">IF(A53="","",1)</f>
        <v/>
      </c>
    </row>
    <row r="54" customFormat="false" ht="12.75" hidden="false" customHeight="false" outlineLevel="0" collapsed="false">
      <c r="A54" s="214"/>
      <c r="B54" s="215"/>
      <c r="C54" s="216"/>
      <c r="D54" s="217" t="str">
        <f aca="false">IF(ISERROR(VLOOKUP($A54,'[1]liste reference'!$A$7:$D$906,2,0)),IF(ISERROR(VLOOKUP($A54,'[1]liste reference'!$B$7:$D$906,1,0)),"",VLOOKUP($A54,'[1]liste reference'!$B$7:$D$906,1,0)),VLOOKUP($A54,'[1]liste reference'!$A$7:$D$906,2,0))</f>
        <v/>
      </c>
      <c r="E54" s="217" t="n">
        <f aca="false">IF(D54="",0,VLOOKUP(D54,D$22:D53,1,0))</f>
        <v>0</v>
      </c>
      <c r="F54" s="226" t="n">
        <f aca="false">($B54*$B$7+$C54*$C$7)/100</f>
        <v>0</v>
      </c>
      <c r="G54" s="219" t="str">
        <f aca="false">IF(A54="","",IF(ISERROR(VLOOKUP($A54,'[1]liste reference'!$A$7:$P$906,13,0)),IF(ISERROR(VLOOKUP($A54,'[1]liste reference'!$B$7:$P$906,12,0)),"    -",VLOOKUP($A54,'[1]liste reference'!$B$7:$P$906,12,0)),VLOOKUP($A54,'[1]liste reference'!$A$7:$P$906,13,0)))</f>
        <v/>
      </c>
      <c r="H54" s="201" t="str">
        <f aca="false">IF(A54="","x",IF(ISERROR(VLOOKUP($A54,'[1]liste reference'!$A$7:$P$906,14,0)),IF(ISERROR(VLOOKUP($A54,'[1]liste reference'!$B$7:$P$906,13,0)),"x",VLOOKUP($A54,'[1]liste reference'!$B$7:$P$906,13,0)),VLOOKUP($A54,'[1]liste reference'!$A$7:$P$906,14,0)))</f>
        <v>x</v>
      </c>
      <c r="I54" s="220" t="str">
        <f aca="false">IF(ISNUMBER(H54),IF(ISERROR(VLOOKUP($A54,'[1]liste reference'!$A$7:$P$906,3,0)),IF(ISERROR(VLOOKUP($A54,'[1]liste reference'!$B$7:$P$906,2,0)),"",VLOOKUP($A54,'[1]liste reference'!$B$7:$P$906,2,0)),VLOOKUP($A54,'[1]liste reference'!$A$7:$P$906,3,0)),"")</f>
        <v/>
      </c>
      <c r="J54" s="203" t="str">
        <f aca="false">IF(ISNUMBER(H54),IF(ISERROR(VLOOKUP($A54,'[1]liste reference'!$A$7:$P$906,4,0)),IF(ISERROR(VLOOKUP($A54,'[1]liste reference'!$B$7:$P$906,3,0)),"",VLOOKUP($A54,'[1]liste reference'!$B$7:$P$906,3,0)),VLOOKUP($A54,'[1]liste reference'!$A$7:$P$906,4,0)),"")</f>
        <v/>
      </c>
      <c r="K54" s="221" t="str">
        <f aca="false">IF(A54="NEW.COD",AA54,IF(ISTEXT($E54),"DEJA SAISI !",IF(A54="","",IF(ISERROR(VLOOKUP($A54,'[1]liste reference'!$A$7:$D$906,2,0)),IF(ISERROR(VLOOKUP($A54,'[1]liste reference'!$B$7:$D$906,1,0)),"code non répertorié ou synonyme",VLOOKUP($A54,'[1]liste reference'!$B$7:$D$906,1,0)),VLOOKUP(A54,'[1]liste reference'!$A$7:$D$906,2,0)))))</f>
        <v/>
      </c>
      <c r="L54" s="222"/>
      <c r="M54" s="222"/>
      <c r="N54" s="222"/>
      <c r="O54" s="206"/>
      <c r="P54" s="207" t="str">
        <f aca="false">IF(ISTEXT(H54),"",(B54*$B$7/100)+(C54*$C$7/100))</f>
        <v/>
      </c>
      <c r="Q54" s="208" t="str">
        <f aca="false">IF(OR(ISTEXT(H54),P54=0),"",IF(P54&lt;0.1,1,IF(P54&lt;1,2,IF(P54&lt;10,3,IF(P54&lt;50,4,IF(P54&gt;=50,5,""))))))</f>
        <v/>
      </c>
      <c r="R54" s="208" t="n">
        <f aca="false">IF(ISERROR(Q54*I54),0,Q54*I54)</f>
        <v>0</v>
      </c>
      <c r="S54" s="208" t="n">
        <f aca="false">IF(ISERROR(Q54*I54*J54),0,Q54*I54*J54)</f>
        <v>0</v>
      </c>
      <c r="T54" s="223" t="n">
        <f aca="false">IF(ISERROR(Q54*J54),0,Q54*J54)</f>
        <v>0</v>
      </c>
      <c r="U54" s="209" t="str">
        <f aca="false">IF(AND(A54="",F54=0),"",IF(F54=0,"Il manque le(s) % de rec. !",""))</f>
        <v/>
      </c>
      <c r="V54" s="210"/>
      <c r="X54" s="211" t="str">
        <f aca="false">IF(A54="new.cod","NEW.COD",IF(AND((Y54=""),ISTEXT(A54)),A54,IF(Y54="","",INDEX('[1]liste reference'!$A$7:$A$906,Y54))))</f>
        <v/>
      </c>
      <c r="Y54" s="9" t="str">
        <f aca="false">IF(ISERROR(MATCH(A54,'[1]liste reference'!$A$7:$A$906,0)),IF(ISERROR(MATCH(A54,'[1]liste reference'!$B$7:$B$906,0)),"",(MATCH(A54,'[1]liste reference'!$B$7:$B$906,0))),(MATCH(A54,'[1]liste reference'!$A$7:$A$906,0)))</f>
        <v/>
      </c>
      <c r="Z54" s="212"/>
      <c r="AA54" s="213"/>
      <c r="BB54" s="9" t="str">
        <f aca="false">IF(A54="","",1)</f>
        <v/>
      </c>
    </row>
    <row r="55" customFormat="false" ht="12.75" hidden="false" customHeight="false" outlineLevel="0" collapsed="false">
      <c r="A55" s="214"/>
      <c r="B55" s="215"/>
      <c r="C55" s="216"/>
      <c r="D55" s="217" t="str">
        <f aca="false">IF(ISERROR(VLOOKUP($A55,'[1]liste reference'!$A$7:$D$906,2,0)),IF(ISERROR(VLOOKUP($A55,'[1]liste reference'!$B$7:$D$906,1,0)),"",VLOOKUP($A55,'[1]liste reference'!$B$7:$D$906,1,0)),VLOOKUP($A55,'[1]liste reference'!$A$7:$D$906,2,0))</f>
        <v/>
      </c>
      <c r="E55" s="217" t="n">
        <f aca="false">IF(D55="",0,VLOOKUP(D55,D$22:D54,1,0))</f>
        <v>0</v>
      </c>
      <c r="F55" s="226" t="n">
        <f aca="false">($B55*$B$7+$C55*$C$7)/100</f>
        <v>0</v>
      </c>
      <c r="G55" s="219" t="str">
        <f aca="false">IF(A55="","",IF(ISERROR(VLOOKUP($A55,'[1]liste reference'!$A$7:$P$906,13,0)),IF(ISERROR(VLOOKUP($A55,'[1]liste reference'!$B$7:$P$906,12,0)),"    -",VLOOKUP($A55,'[1]liste reference'!$B$7:$P$906,12,0)),VLOOKUP($A55,'[1]liste reference'!$A$7:$P$906,13,0)))</f>
        <v/>
      </c>
      <c r="H55" s="201" t="str">
        <f aca="false">IF(A55="","x",IF(ISERROR(VLOOKUP($A55,'[1]liste reference'!$A$7:$P$906,14,0)),IF(ISERROR(VLOOKUP($A55,'[1]liste reference'!$B$7:$P$906,13,0)),"x",VLOOKUP($A55,'[1]liste reference'!$B$7:$P$906,13,0)),VLOOKUP($A55,'[1]liste reference'!$A$7:$P$906,14,0)))</f>
        <v>x</v>
      </c>
      <c r="I55" s="220" t="str">
        <f aca="false">IF(ISNUMBER(H55),IF(ISERROR(VLOOKUP($A55,'[1]liste reference'!$A$7:$P$906,3,0)),IF(ISERROR(VLOOKUP($A55,'[1]liste reference'!$B$7:$P$906,2,0)),"",VLOOKUP($A55,'[1]liste reference'!$B$7:$P$906,2,0)),VLOOKUP($A55,'[1]liste reference'!$A$7:$P$906,3,0)),"")</f>
        <v/>
      </c>
      <c r="J55" s="203" t="str">
        <f aca="false">IF(ISNUMBER(H55),IF(ISERROR(VLOOKUP($A55,'[1]liste reference'!$A$7:$P$906,4,0)),IF(ISERROR(VLOOKUP($A55,'[1]liste reference'!$B$7:$P$906,3,0)),"",VLOOKUP($A55,'[1]liste reference'!$B$7:$P$906,3,0)),VLOOKUP($A55,'[1]liste reference'!$A$7:$P$906,4,0)),"")</f>
        <v/>
      </c>
      <c r="K55" s="221" t="str">
        <f aca="false">IF(A55="NEW.COD",AA55,IF(ISTEXT($E55),"DEJA SAISI !",IF(A55="","",IF(ISERROR(VLOOKUP($A55,'[1]liste reference'!$A$7:$D$906,2,0)),IF(ISERROR(VLOOKUP($A55,'[1]liste reference'!$B$7:$D$906,1,0)),"code non répertorié ou synonyme",VLOOKUP($A55,'[1]liste reference'!$B$7:$D$906,1,0)),VLOOKUP(A55,'[1]liste reference'!$A$7:$D$906,2,0)))))</f>
        <v/>
      </c>
      <c r="L55" s="222"/>
      <c r="M55" s="222"/>
      <c r="N55" s="222"/>
      <c r="O55" s="206"/>
      <c r="P55" s="207" t="str">
        <f aca="false">IF(ISTEXT(H55),"",(B55*$B$7/100)+(C55*$C$7/100))</f>
        <v/>
      </c>
      <c r="Q55" s="208" t="str">
        <f aca="false">IF(OR(ISTEXT(H55),P55=0),"",IF(P55&lt;0.1,1,IF(P55&lt;1,2,IF(P55&lt;10,3,IF(P55&lt;50,4,IF(P55&gt;=50,5,""))))))</f>
        <v/>
      </c>
      <c r="R55" s="208" t="n">
        <f aca="false">IF(ISERROR(Q55*I55),0,Q55*I55)</f>
        <v>0</v>
      </c>
      <c r="S55" s="208" t="n">
        <f aca="false">IF(ISERROR(Q55*I55*J55),0,Q55*I55*J55)</f>
        <v>0</v>
      </c>
      <c r="T55" s="223" t="n">
        <f aca="false">IF(ISERROR(Q55*J55),0,Q55*J55)</f>
        <v>0</v>
      </c>
      <c r="U55" s="209" t="str">
        <f aca="false">IF(AND(A55="",F55=0),"",IF(F55=0,"Il manque le(s) % de rec. !",""))</f>
        <v/>
      </c>
      <c r="V55" s="210"/>
      <c r="X55" s="211" t="str">
        <f aca="false">IF(A55="new.cod","NEW.COD",IF(AND((Y55=""),ISTEXT(A55)),A55,IF(Y55="","",INDEX('[1]liste reference'!$A$7:$A$906,Y55))))</f>
        <v/>
      </c>
      <c r="Y55" s="9" t="str">
        <f aca="false">IF(ISERROR(MATCH(A55,'[1]liste reference'!$A$7:$A$906,0)),IF(ISERROR(MATCH(A55,'[1]liste reference'!$B$7:$B$906,0)),"",(MATCH(A55,'[1]liste reference'!$B$7:$B$906,0))),(MATCH(A55,'[1]liste reference'!$A$7:$A$906,0)))</f>
        <v/>
      </c>
      <c r="Z55" s="212"/>
      <c r="AA55" s="213"/>
      <c r="BB55" s="9" t="str">
        <f aca="false">IF(A55="","",1)</f>
        <v/>
      </c>
    </row>
    <row r="56" customFormat="false" ht="12.75" hidden="false" customHeight="false" outlineLevel="0" collapsed="false">
      <c r="A56" s="214"/>
      <c r="B56" s="215"/>
      <c r="C56" s="216"/>
      <c r="D56" s="217" t="str">
        <f aca="false">IF(ISERROR(VLOOKUP($A56,'[1]liste reference'!$A$7:$D$906,2,0)),IF(ISERROR(VLOOKUP($A56,'[1]liste reference'!$B$7:$D$906,1,0)),"",VLOOKUP($A56,'[1]liste reference'!$B$7:$D$906,1,0)),VLOOKUP($A56,'[1]liste reference'!$A$7:$D$906,2,0))</f>
        <v/>
      </c>
      <c r="E56" s="217" t="n">
        <f aca="false">IF(D56="",0,VLOOKUP(D56,D$22:D55,1,0))</f>
        <v>0</v>
      </c>
      <c r="F56" s="226" t="n">
        <f aca="false">($B56*$B$7+$C56*$C$7)/100</f>
        <v>0</v>
      </c>
      <c r="G56" s="219" t="str">
        <f aca="false">IF(A56="","",IF(ISERROR(VLOOKUP($A56,'[1]liste reference'!$A$7:$P$906,13,0)),IF(ISERROR(VLOOKUP($A56,'[1]liste reference'!$B$7:$P$906,12,0)),"    -",VLOOKUP($A56,'[1]liste reference'!$B$7:$P$906,12,0)),VLOOKUP($A56,'[1]liste reference'!$A$7:$P$906,13,0)))</f>
        <v/>
      </c>
      <c r="H56" s="201" t="str">
        <f aca="false">IF(A56="","x",IF(ISERROR(VLOOKUP($A56,'[1]liste reference'!$A$7:$P$906,14,0)),IF(ISERROR(VLOOKUP($A56,'[1]liste reference'!$B$7:$P$906,13,0)),"x",VLOOKUP($A56,'[1]liste reference'!$B$7:$P$906,13,0)),VLOOKUP($A56,'[1]liste reference'!$A$7:$P$906,14,0)))</f>
        <v>x</v>
      </c>
      <c r="I56" s="220" t="str">
        <f aca="false">IF(ISNUMBER(H56),IF(ISERROR(VLOOKUP($A56,'[1]liste reference'!$A$7:$P$906,3,0)),IF(ISERROR(VLOOKUP($A56,'[1]liste reference'!$B$7:$P$906,2,0)),"",VLOOKUP($A56,'[1]liste reference'!$B$7:$P$906,2,0)),VLOOKUP($A56,'[1]liste reference'!$A$7:$P$906,3,0)),"")</f>
        <v/>
      </c>
      <c r="J56" s="203" t="str">
        <f aca="false">IF(ISNUMBER(H56),IF(ISERROR(VLOOKUP($A56,'[1]liste reference'!$A$7:$P$906,4,0)),IF(ISERROR(VLOOKUP($A56,'[1]liste reference'!$B$7:$P$906,3,0)),"",VLOOKUP($A56,'[1]liste reference'!$B$7:$P$906,3,0)),VLOOKUP($A56,'[1]liste reference'!$A$7:$P$906,4,0)),"")</f>
        <v/>
      </c>
      <c r="K56" s="221" t="str">
        <f aca="false">IF(A56="NEW.COD",AA56,IF(ISTEXT($E56),"DEJA SAISI !",IF(A56="","",IF(ISERROR(VLOOKUP($A56,'[1]liste reference'!$A$7:$D$906,2,0)),IF(ISERROR(VLOOKUP($A56,'[1]liste reference'!$B$7:$D$906,1,0)),"code non répertorié ou synonyme",VLOOKUP($A56,'[1]liste reference'!$B$7:$D$906,1,0)),VLOOKUP(A56,'[1]liste reference'!$A$7:$D$906,2,0)))))</f>
        <v/>
      </c>
      <c r="L56" s="222"/>
      <c r="M56" s="222"/>
      <c r="N56" s="222"/>
      <c r="O56" s="206"/>
      <c r="P56" s="207" t="str">
        <f aca="false">IF(ISTEXT(H56),"",(B56*$B$7/100)+(C56*$C$7/100))</f>
        <v/>
      </c>
      <c r="Q56" s="208" t="str">
        <f aca="false">IF(OR(ISTEXT(H56),P56=0),"",IF(P56&lt;0.1,1,IF(P56&lt;1,2,IF(P56&lt;10,3,IF(P56&lt;50,4,IF(P56&gt;=50,5,""))))))</f>
        <v/>
      </c>
      <c r="R56" s="208" t="n">
        <f aca="false">IF(ISERROR(Q56*I56),0,Q56*I56)</f>
        <v>0</v>
      </c>
      <c r="S56" s="208" t="n">
        <f aca="false">IF(ISERROR(Q56*I56*J56),0,Q56*I56*J56)</f>
        <v>0</v>
      </c>
      <c r="T56" s="223" t="n">
        <f aca="false">IF(ISERROR(Q56*J56),0,Q56*J56)</f>
        <v>0</v>
      </c>
      <c r="U56" s="209" t="str">
        <f aca="false">IF(AND(A56="",F56=0),"",IF(F56=0,"Il manque le(s) % de rec. !",""))</f>
        <v/>
      </c>
      <c r="V56" s="210"/>
      <c r="X56" s="211" t="str">
        <f aca="false">IF(A56="new.cod","NEW.COD",IF(AND((Y56=""),ISTEXT(A56)),A56,IF(Y56="","",INDEX('[1]liste reference'!$A$7:$A$906,Y56))))</f>
        <v/>
      </c>
      <c r="Y56" s="9" t="str">
        <f aca="false">IF(ISERROR(MATCH(A56,'[1]liste reference'!$A$7:$A$906,0)),IF(ISERROR(MATCH(A56,'[1]liste reference'!$B$7:$B$906,0)),"",(MATCH(A56,'[1]liste reference'!$B$7:$B$906,0))),(MATCH(A56,'[1]liste reference'!$A$7:$A$906,0)))</f>
        <v/>
      </c>
      <c r="Z56" s="212"/>
      <c r="AA56" s="213"/>
      <c r="BB56" s="9" t="str">
        <f aca="false">IF(A56="","",1)</f>
        <v/>
      </c>
    </row>
    <row r="57" customFormat="false" ht="12.75" hidden="false" customHeight="false" outlineLevel="0" collapsed="false">
      <c r="A57" s="214"/>
      <c r="B57" s="215"/>
      <c r="C57" s="216"/>
      <c r="D57" s="217" t="str">
        <f aca="false">IF(ISERROR(VLOOKUP($A57,'[1]liste reference'!$A$7:$D$906,2,0)),IF(ISERROR(VLOOKUP($A57,'[1]liste reference'!$B$7:$D$906,1,0)),"",VLOOKUP($A57,'[1]liste reference'!$B$7:$D$906,1,0)),VLOOKUP($A57,'[1]liste reference'!$A$7:$D$906,2,0))</f>
        <v/>
      </c>
      <c r="E57" s="217" t="n">
        <f aca="false">IF(D57="",0,VLOOKUP(D57,D$22:D56,1,0))</f>
        <v>0</v>
      </c>
      <c r="F57" s="226" t="n">
        <f aca="false">($B57*$B$7+$C57*$C$7)/100</f>
        <v>0</v>
      </c>
      <c r="G57" s="219" t="str">
        <f aca="false">IF(A57="","",IF(ISERROR(VLOOKUP($A57,'[1]liste reference'!$A$7:$P$906,13,0)),IF(ISERROR(VLOOKUP($A57,'[1]liste reference'!$B$7:$P$906,12,0)),"    -",VLOOKUP($A57,'[1]liste reference'!$B$7:$P$906,12,0)),VLOOKUP($A57,'[1]liste reference'!$A$7:$P$906,13,0)))</f>
        <v/>
      </c>
      <c r="H57" s="201" t="str">
        <f aca="false">IF(A57="","x",IF(ISERROR(VLOOKUP($A57,'[1]liste reference'!$A$7:$P$906,14,0)),IF(ISERROR(VLOOKUP($A57,'[1]liste reference'!$B$7:$P$906,13,0)),"x",VLOOKUP($A57,'[1]liste reference'!$B$7:$P$906,13,0)),VLOOKUP($A57,'[1]liste reference'!$A$7:$P$906,14,0)))</f>
        <v>x</v>
      </c>
      <c r="I57" s="220" t="str">
        <f aca="false">IF(ISNUMBER(H57),IF(ISERROR(VLOOKUP($A57,'[1]liste reference'!$A$7:$P$906,3,0)),IF(ISERROR(VLOOKUP($A57,'[1]liste reference'!$B$7:$P$906,2,0)),"",VLOOKUP($A57,'[1]liste reference'!$B$7:$P$906,2,0)),VLOOKUP($A57,'[1]liste reference'!$A$7:$P$906,3,0)),"")</f>
        <v/>
      </c>
      <c r="J57" s="203" t="str">
        <f aca="false">IF(ISNUMBER(H57),IF(ISERROR(VLOOKUP($A57,'[1]liste reference'!$A$7:$P$906,4,0)),IF(ISERROR(VLOOKUP($A57,'[1]liste reference'!$B$7:$P$906,3,0)),"",VLOOKUP($A57,'[1]liste reference'!$B$7:$P$906,3,0)),VLOOKUP($A57,'[1]liste reference'!$A$7:$P$906,4,0)),"")</f>
        <v/>
      </c>
      <c r="K57" s="221" t="str">
        <f aca="false">IF(A57="NEW.COD",AA57,IF(ISTEXT($E57),"DEJA SAISI !",IF(A57="","",IF(ISERROR(VLOOKUP($A57,'[1]liste reference'!$A$7:$D$906,2,0)),IF(ISERROR(VLOOKUP($A57,'[1]liste reference'!$B$7:$D$906,1,0)),"code non répertorié ou synonyme",VLOOKUP($A57,'[1]liste reference'!$B$7:$D$906,1,0)),VLOOKUP(A57,'[1]liste reference'!$A$7:$D$906,2,0)))))</f>
        <v/>
      </c>
      <c r="L57" s="222"/>
      <c r="M57" s="222"/>
      <c r="N57" s="222"/>
      <c r="O57" s="206"/>
      <c r="P57" s="207" t="str">
        <f aca="false">IF(ISTEXT(H57),"",(B57*$B$7/100)+(C57*$C$7/100))</f>
        <v/>
      </c>
      <c r="Q57" s="208" t="str">
        <f aca="false">IF(OR(ISTEXT(H57),P57=0),"",IF(P57&lt;0.1,1,IF(P57&lt;1,2,IF(P57&lt;10,3,IF(P57&lt;50,4,IF(P57&gt;=50,5,""))))))</f>
        <v/>
      </c>
      <c r="R57" s="208" t="n">
        <f aca="false">IF(ISERROR(Q57*I57),0,Q57*I57)</f>
        <v>0</v>
      </c>
      <c r="S57" s="208" t="n">
        <f aca="false">IF(ISERROR(Q57*I57*J57),0,Q57*I57*J57)</f>
        <v>0</v>
      </c>
      <c r="T57" s="223" t="n">
        <f aca="false">IF(ISERROR(Q57*J57),0,Q57*J57)</f>
        <v>0</v>
      </c>
      <c r="U57" s="209" t="str">
        <f aca="false">IF(AND(A57="",F57=0),"",IF(F57=0,"Il manque le(s) % de rec. !",""))</f>
        <v/>
      </c>
      <c r="V57" s="210"/>
      <c r="X57" s="211" t="str">
        <f aca="false">IF(A57="new.cod","NEW.COD",IF(AND((Y57=""),ISTEXT(A57)),A57,IF(Y57="","",INDEX('[1]liste reference'!$A$7:$A$906,Y57))))</f>
        <v/>
      </c>
      <c r="Y57" s="9" t="str">
        <f aca="false">IF(ISERROR(MATCH(A57,'[1]liste reference'!$A$7:$A$906,0)),IF(ISERROR(MATCH(A57,'[1]liste reference'!$B$7:$B$906,0)),"",(MATCH(A57,'[1]liste reference'!$B$7:$B$906,0))),(MATCH(A57,'[1]liste reference'!$A$7:$A$906,0)))</f>
        <v/>
      </c>
      <c r="Z57" s="212"/>
      <c r="AA57" s="213"/>
      <c r="BB57" s="9" t="str">
        <f aca="false">IF(A57="","",1)</f>
        <v/>
      </c>
    </row>
    <row r="58" customFormat="false" ht="12.75" hidden="false" customHeight="false" outlineLevel="0" collapsed="false">
      <c r="A58" s="214"/>
      <c r="B58" s="215"/>
      <c r="C58" s="216"/>
      <c r="D58" s="217" t="str">
        <f aca="false">IF(ISERROR(VLOOKUP($A58,'[1]liste reference'!$A$7:$D$906,2,0)),IF(ISERROR(VLOOKUP($A58,'[1]liste reference'!$B$7:$D$906,1,0)),"",VLOOKUP($A58,'[1]liste reference'!$B$7:$D$906,1,0)),VLOOKUP($A58,'[1]liste reference'!$A$7:$D$906,2,0))</f>
        <v/>
      </c>
      <c r="E58" s="217" t="n">
        <f aca="false">IF(D58="",0,VLOOKUP(D58,D$22:D57,1,0))</f>
        <v>0</v>
      </c>
      <c r="F58" s="226" t="n">
        <f aca="false">($B58*$B$7+$C58*$C$7)/100</f>
        <v>0</v>
      </c>
      <c r="G58" s="219" t="str">
        <f aca="false">IF(A58="","",IF(ISERROR(VLOOKUP($A58,'[1]liste reference'!$A$7:$P$906,13,0)),IF(ISERROR(VLOOKUP($A58,'[1]liste reference'!$B$7:$P$906,12,0)),"    -",VLOOKUP($A58,'[1]liste reference'!$B$7:$P$906,12,0)),VLOOKUP($A58,'[1]liste reference'!$A$7:$P$906,13,0)))</f>
        <v/>
      </c>
      <c r="H58" s="201" t="str">
        <f aca="false">IF(A58="","x",IF(ISERROR(VLOOKUP($A58,'[1]liste reference'!$A$7:$P$906,14,0)),IF(ISERROR(VLOOKUP($A58,'[1]liste reference'!$B$7:$P$906,13,0)),"x",VLOOKUP($A58,'[1]liste reference'!$B$7:$P$906,13,0)),VLOOKUP($A58,'[1]liste reference'!$A$7:$P$906,14,0)))</f>
        <v>x</v>
      </c>
      <c r="I58" s="220" t="str">
        <f aca="false">IF(ISNUMBER(H58),IF(ISERROR(VLOOKUP($A58,'[1]liste reference'!$A$7:$P$906,3,0)),IF(ISERROR(VLOOKUP($A58,'[1]liste reference'!$B$7:$P$906,2,0)),"",VLOOKUP($A58,'[1]liste reference'!$B$7:$P$906,2,0)),VLOOKUP($A58,'[1]liste reference'!$A$7:$P$906,3,0)),"")</f>
        <v/>
      </c>
      <c r="J58" s="203" t="str">
        <f aca="false">IF(ISNUMBER(H58),IF(ISERROR(VLOOKUP($A58,'[1]liste reference'!$A$7:$P$906,4,0)),IF(ISERROR(VLOOKUP($A58,'[1]liste reference'!$B$7:$P$906,3,0)),"",VLOOKUP($A58,'[1]liste reference'!$B$7:$P$906,3,0)),VLOOKUP($A58,'[1]liste reference'!$A$7:$P$906,4,0)),"")</f>
        <v/>
      </c>
      <c r="K58" s="221" t="str">
        <f aca="false">IF(A58="NEW.COD",AA58,IF(ISTEXT($E58),"DEJA SAISI !",IF(A58="","",IF(ISERROR(VLOOKUP($A58,'[1]liste reference'!$A$7:$D$906,2,0)),IF(ISERROR(VLOOKUP($A58,'[1]liste reference'!$B$7:$D$906,1,0)),"code non répertorié ou synonyme",VLOOKUP($A58,'[1]liste reference'!$B$7:$D$906,1,0)),VLOOKUP(A58,'[1]liste reference'!$A$7:$D$906,2,0)))))</f>
        <v/>
      </c>
      <c r="L58" s="222"/>
      <c r="M58" s="222"/>
      <c r="N58" s="222"/>
      <c r="O58" s="206"/>
      <c r="P58" s="207" t="str">
        <f aca="false">IF(ISTEXT(H58),"",(B58*$B$7/100)+(C58*$C$7/100))</f>
        <v/>
      </c>
      <c r="Q58" s="208" t="str">
        <f aca="false">IF(OR(ISTEXT(H58),P58=0),"",IF(P58&lt;0.1,1,IF(P58&lt;1,2,IF(P58&lt;10,3,IF(P58&lt;50,4,IF(P58&gt;=50,5,""))))))</f>
        <v/>
      </c>
      <c r="R58" s="208" t="n">
        <f aca="false">IF(ISERROR(Q58*I58),0,Q58*I58)</f>
        <v>0</v>
      </c>
      <c r="S58" s="208" t="n">
        <f aca="false">IF(ISERROR(Q58*I58*J58),0,Q58*I58*J58)</f>
        <v>0</v>
      </c>
      <c r="T58" s="223" t="n">
        <f aca="false">IF(ISERROR(Q58*J58),0,Q58*J58)</f>
        <v>0</v>
      </c>
      <c r="U58" s="209" t="str">
        <f aca="false">IF(AND(A58="",F58=0),"",IF(F58=0,"Il manque le(s) % de rec. !",""))</f>
        <v/>
      </c>
      <c r="V58" s="210"/>
      <c r="X58" s="211" t="str">
        <f aca="false">IF(A58="new.cod","NEW.COD",IF(AND((Y58=""),ISTEXT(A58)),A58,IF(Y58="","",INDEX('[1]liste reference'!$A$7:$A$906,Y58))))</f>
        <v/>
      </c>
      <c r="Y58" s="9" t="str">
        <f aca="false">IF(ISERROR(MATCH(A58,'[1]liste reference'!$A$7:$A$906,0)),IF(ISERROR(MATCH(A58,'[1]liste reference'!$B$7:$B$906,0)),"",(MATCH(A58,'[1]liste reference'!$B$7:$B$906,0))),(MATCH(A58,'[1]liste reference'!$A$7:$A$906,0)))</f>
        <v/>
      </c>
      <c r="Z58" s="212"/>
      <c r="AA58" s="213"/>
      <c r="BB58" s="9" t="str">
        <f aca="false">IF(A58="","",1)</f>
        <v/>
      </c>
    </row>
    <row r="59" customFormat="false" ht="12.75" hidden="false" customHeight="false" outlineLevel="0" collapsed="false">
      <c r="A59" s="214"/>
      <c r="B59" s="215"/>
      <c r="C59" s="216"/>
      <c r="D59" s="217" t="str">
        <f aca="false">IF(ISERROR(VLOOKUP($A59,'[1]liste reference'!$A$7:$D$906,2,0)),IF(ISERROR(VLOOKUP($A59,'[1]liste reference'!$B$7:$D$906,1,0)),"",VLOOKUP($A59,'[1]liste reference'!$B$7:$D$906,1,0)),VLOOKUP($A59,'[1]liste reference'!$A$7:$D$906,2,0))</f>
        <v/>
      </c>
      <c r="E59" s="217" t="n">
        <f aca="false">IF(D59="",0,VLOOKUP(D59,D$22:D58,1,0))</f>
        <v>0</v>
      </c>
      <c r="F59" s="226" t="n">
        <f aca="false">($B59*$B$7+$C59*$C$7)/100</f>
        <v>0</v>
      </c>
      <c r="G59" s="219" t="str">
        <f aca="false">IF(A59="","",IF(ISERROR(VLOOKUP($A59,'[1]liste reference'!$A$7:$P$906,13,0)),IF(ISERROR(VLOOKUP($A59,'[1]liste reference'!$B$7:$P$906,12,0)),"    -",VLOOKUP($A59,'[1]liste reference'!$B$7:$P$906,12,0)),VLOOKUP($A59,'[1]liste reference'!$A$7:$P$906,13,0)))</f>
        <v/>
      </c>
      <c r="H59" s="201" t="str">
        <f aca="false">IF(A59="","x",IF(ISERROR(VLOOKUP($A59,'[1]liste reference'!$A$7:$P$906,14,0)),IF(ISERROR(VLOOKUP($A59,'[1]liste reference'!$B$7:$P$906,13,0)),"x",VLOOKUP($A59,'[1]liste reference'!$B$7:$P$906,13,0)),VLOOKUP($A59,'[1]liste reference'!$A$7:$P$906,14,0)))</f>
        <v>x</v>
      </c>
      <c r="I59" s="220" t="str">
        <f aca="false">IF(ISNUMBER(H59),IF(ISERROR(VLOOKUP($A59,'[1]liste reference'!$A$7:$P$906,3,0)),IF(ISERROR(VLOOKUP($A59,'[1]liste reference'!$B$7:$P$906,2,0)),"",VLOOKUP($A59,'[1]liste reference'!$B$7:$P$906,2,0)),VLOOKUP($A59,'[1]liste reference'!$A$7:$P$906,3,0)),"")</f>
        <v/>
      </c>
      <c r="J59" s="203" t="str">
        <f aca="false">IF(ISNUMBER(H59),IF(ISERROR(VLOOKUP($A59,'[1]liste reference'!$A$7:$P$906,4,0)),IF(ISERROR(VLOOKUP($A59,'[1]liste reference'!$B$7:$P$906,3,0)),"",VLOOKUP($A59,'[1]liste reference'!$B$7:$P$906,3,0)),VLOOKUP($A59,'[1]liste reference'!$A$7:$P$906,4,0)),"")</f>
        <v/>
      </c>
      <c r="K59" s="221" t="str">
        <f aca="false">IF(A59="NEW.COD",AA59,IF(ISTEXT($E59),"DEJA SAISI !",IF(A59="","",IF(ISERROR(VLOOKUP($A59,'[1]liste reference'!$A$7:$D$906,2,0)),IF(ISERROR(VLOOKUP($A59,'[1]liste reference'!$B$7:$D$906,1,0)),"code non répertorié ou synonyme",VLOOKUP($A59,'[1]liste reference'!$B$7:$D$906,1,0)),VLOOKUP(A59,'[1]liste reference'!$A$7:$D$906,2,0)))))</f>
        <v/>
      </c>
      <c r="L59" s="222"/>
      <c r="M59" s="222"/>
      <c r="N59" s="222"/>
      <c r="O59" s="206"/>
      <c r="P59" s="207" t="str">
        <f aca="false">IF(ISTEXT(H59),"",(B59*$B$7/100)+(C59*$C$7/100))</f>
        <v/>
      </c>
      <c r="Q59" s="208" t="str">
        <f aca="false">IF(OR(ISTEXT(H59),P59=0),"",IF(P59&lt;0.1,1,IF(P59&lt;1,2,IF(P59&lt;10,3,IF(P59&lt;50,4,IF(P59&gt;=50,5,""))))))</f>
        <v/>
      </c>
      <c r="R59" s="208" t="n">
        <f aca="false">IF(ISERROR(Q59*I59),0,Q59*I59)</f>
        <v>0</v>
      </c>
      <c r="S59" s="208" t="n">
        <f aca="false">IF(ISERROR(Q59*I59*J59),0,Q59*I59*J59)</f>
        <v>0</v>
      </c>
      <c r="T59" s="223" t="n">
        <f aca="false">IF(ISERROR(Q59*J59),0,Q59*J59)</f>
        <v>0</v>
      </c>
      <c r="U59" s="209" t="str">
        <f aca="false">IF(AND(A59="",F59=0),"",IF(F59=0,"Il manque le(s) % de rec. !",""))</f>
        <v/>
      </c>
      <c r="V59" s="210"/>
      <c r="X59" s="211" t="str">
        <f aca="false">IF(A59="new.cod","NEW.COD",IF(AND((Y59=""),ISTEXT(A59)),A59,IF(Y59="","",INDEX('[1]liste reference'!$A$7:$A$906,Y59))))</f>
        <v/>
      </c>
      <c r="Y59" s="9" t="str">
        <f aca="false">IF(ISERROR(MATCH(A59,'[1]liste reference'!$A$7:$A$906,0)),IF(ISERROR(MATCH(A59,'[1]liste reference'!$B$7:$B$906,0)),"",(MATCH(A59,'[1]liste reference'!$B$7:$B$906,0))),(MATCH(A59,'[1]liste reference'!$A$7:$A$906,0)))</f>
        <v/>
      </c>
      <c r="Z59" s="212"/>
      <c r="AA59" s="213"/>
      <c r="BB59" s="9" t="str">
        <f aca="false">IF(A59="","",1)</f>
        <v/>
      </c>
    </row>
    <row r="60" customFormat="false" ht="12.75" hidden="false" customHeight="false" outlineLevel="0" collapsed="false">
      <c r="A60" s="214"/>
      <c r="B60" s="215"/>
      <c r="C60" s="216"/>
      <c r="D60" s="217" t="str">
        <f aca="false">IF(ISERROR(VLOOKUP($A60,'[1]liste reference'!$A$7:$D$906,2,0)),IF(ISERROR(VLOOKUP($A60,'[1]liste reference'!$B$7:$D$906,1,0)),"",VLOOKUP($A60,'[1]liste reference'!$B$7:$D$906,1,0)),VLOOKUP($A60,'[1]liste reference'!$A$7:$D$906,2,0))</f>
        <v/>
      </c>
      <c r="E60" s="217" t="n">
        <f aca="false">IF(D60="",0,VLOOKUP(D60,D$22:D59,1,0))</f>
        <v>0</v>
      </c>
      <c r="F60" s="226" t="n">
        <f aca="false">($B60*$B$7+$C60*$C$7)/100</f>
        <v>0</v>
      </c>
      <c r="G60" s="219" t="str">
        <f aca="false">IF(A60="","",IF(ISERROR(VLOOKUP($A60,'[1]liste reference'!$A$7:$P$906,13,0)),IF(ISERROR(VLOOKUP($A60,'[1]liste reference'!$B$7:$P$906,12,0)),"    -",VLOOKUP($A60,'[1]liste reference'!$B$7:$P$906,12,0)),VLOOKUP($A60,'[1]liste reference'!$A$7:$P$906,13,0)))</f>
        <v/>
      </c>
      <c r="H60" s="201" t="str">
        <f aca="false">IF(A60="","x",IF(ISERROR(VLOOKUP($A60,'[1]liste reference'!$A$7:$P$906,14,0)),IF(ISERROR(VLOOKUP($A60,'[1]liste reference'!$B$7:$P$906,13,0)),"x",VLOOKUP($A60,'[1]liste reference'!$B$7:$P$906,13,0)),VLOOKUP($A60,'[1]liste reference'!$A$7:$P$906,14,0)))</f>
        <v>x</v>
      </c>
      <c r="I60" s="220" t="str">
        <f aca="false">IF(ISNUMBER(H60),IF(ISERROR(VLOOKUP($A60,'[1]liste reference'!$A$7:$P$906,3,0)),IF(ISERROR(VLOOKUP($A60,'[1]liste reference'!$B$7:$P$906,2,0)),"",VLOOKUP($A60,'[1]liste reference'!$B$7:$P$906,2,0)),VLOOKUP($A60,'[1]liste reference'!$A$7:$P$906,3,0)),"")</f>
        <v/>
      </c>
      <c r="J60" s="203" t="str">
        <f aca="false">IF(ISNUMBER(H60),IF(ISERROR(VLOOKUP($A60,'[1]liste reference'!$A$7:$P$906,4,0)),IF(ISERROR(VLOOKUP($A60,'[1]liste reference'!$B$7:$P$906,3,0)),"",VLOOKUP($A60,'[1]liste reference'!$B$7:$P$906,3,0)),VLOOKUP($A60,'[1]liste reference'!$A$7:$P$906,4,0)),"")</f>
        <v/>
      </c>
      <c r="K60" s="221" t="str">
        <f aca="false">IF(A60="NEW.COD",AA60,IF(ISTEXT($E60),"DEJA SAISI !",IF(A60="","",IF(ISERROR(VLOOKUP($A60,'[1]liste reference'!$A$7:$D$906,2,0)),IF(ISERROR(VLOOKUP($A60,'[1]liste reference'!$B$7:$D$906,1,0)),"code non répertorié ou synonyme",VLOOKUP($A60,'[1]liste reference'!$B$7:$D$906,1,0)),VLOOKUP(A60,'[1]liste reference'!$A$7:$D$906,2,0)))))</f>
        <v/>
      </c>
      <c r="L60" s="222"/>
      <c r="M60" s="222"/>
      <c r="N60" s="222"/>
      <c r="O60" s="206"/>
      <c r="P60" s="207" t="str">
        <f aca="false">IF(ISTEXT(H60),"",(B60*$B$7/100)+(C60*$C$7/100))</f>
        <v/>
      </c>
      <c r="Q60" s="208" t="str">
        <f aca="false">IF(OR(ISTEXT(H60),P60=0),"",IF(P60&lt;0.1,1,IF(P60&lt;1,2,IF(P60&lt;10,3,IF(P60&lt;50,4,IF(P60&gt;=50,5,""))))))</f>
        <v/>
      </c>
      <c r="R60" s="208" t="n">
        <f aca="false">IF(ISERROR(Q60*I60),0,Q60*I60)</f>
        <v>0</v>
      </c>
      <c r="S60" s="208" t="n">
        <f aca="false">IF(ISERROR(Q60*I60*J60),0,Q60*I60*J60)</f>
        <v>0</v>
      </c>
      <c r="T60" s="223" t="n">
        <f aca="false">IF(ISERROR(Q60*J60),0,Q60*J60)</f>
        <v>0</v>
      </c>
      <c r="U60" s="209" t="str">
        <f aca="false">IF(AND(A60="",F60=0),"",IF(F60=0,"Il manque le(s) % de rec. !",""))</f>
        <v/>
      </c>
      <c r="V60" s="210"/>
      <c r="X60" s="211" t="str">
        <f aca="false">IF(A60="new.cod","NEW.COD",IF(AND((Y60=""),ISTEXT(A60)),A60,IF(Y60="","",INDEX('[1]liste reference'!$A$7:$A$906,Y60))))</f>
        <v/>
      </c>
      <c r="Y60" s="9" t="str">
        <f aca="false">IF(ISERROR(MATCH(A60,'[1]liste reference'!$A$7:$A$906,0)),IF(ISERROR(MATCH(A60,'[1]liste reference'!$B$7:$B$906,0)),"",(MATCH(A60,'[1]liste reference'!$B$7:$B$906,0))),(MATCH(A60,'[1]liste reference'!$A$7:$A$906,0)))</f>
        <v/>
      </c>
      <c r="Z60" s="212"/>
      <c r="AA60" s="213"/>
      <c r="BB60" s="9" t="str">
        <f aca="false">IF(A60="","",1)</f>
        <v/>
      </c>
    </row>
    <row r="61" customFormat="false" ht="12.75" hidden="false" customHeight="false" outlineLevel="0" collapsed="false">
      <c r="A61" s="214"/>
      <c r="B61" s="215"/>
      <c r="C61" s="216"/>
      <c r="D61" s="217" t="str">
        <f aca="false">IF(ISERROR(VLOOKUP($A61,'[1]liste reference'!$A$7:$D$906,2,0)),IF(ISERROR(VLOOKUP($A61,'[1]liste reference'!$B$7:$D$906,1,0)),"",VLOOKUP($A61,'[1]liste reference'!$B$7:$D$906,1,0)),VLOOKUP($A61,'[1]liste reference'!$A$7:$D$906,2,0))</f>
        <v/>
      </c>
      <c r="E61" s="217" t="n">
        <f aca="false">IF(D61="",0,VLOOKUP(D61,D$22:D54,1,0))</f>
        <v>0</v>
      </c>
      <c r="F61" s="226" t="n">
        <f aca="false">($B61*$B$7+$C61*$C$7)/100</f>
        <v>0</v>
      </c>
      <c r="G61" s="219" t="str">
        <f aca="false">IF(A61="","",IF(ISERROR(VLOOKUP($A61,'[1]liste reference'!$A$7:$P$906,13,0)),IF(ISERROR(VLOOKUP($A61,'[1]liste reference'!$B$7:$P$906,12,0)),"    -",VLOOKUP($A61,'[1]liste reference'!$B$7:$P$906,12,0)),VLOOKUP($A61,'[1]liste reference'!$A$7:$P$906,13,0)))</f>
        <v/>
      </c>
      <c r="H61" s="201" t="str">
        <f aca="false">IF(A61="","x",IF(ISERROR(VLOOKUP($A61,'[1]liste reference'!$A$7:$P$906,14,0)),IF(ISERROR(VLOOKUP($A61,'[1]liste reference'!$B$7:$P$906,13,0)),"x",VLOOKUP($A61,'[1]liste reference'!$B$7:$P$906,13,0)),VLOOKUP($A61,'[1]liste reference'!$A$7:$P$906,14,0)))</f>
        <v>x</v>
      </c>
      <c r="I61" s="220" t="str">
        <f aca="false">IF(ISNUMBER(H61),IF(ISERROR(VLOOKUP($A61,'[1]liste reference'!$A$7:$P$906,3,0)),IF(ISERROR(VLOOKUP($A61,'[1]liste reference'!$B$7:$P$906,2,0)),"",VLOOKUP($A61,'[1]liste reference'!$B$7:$P$906,2,0)),VLOOKUP($A61,'[1]liste reference'!$A$7:$P$906,3,0)),"")</f>
        <v/>
      </c>
      <c r="J61" s="203" t="str">
        <f aca="false">IF(ISNUMBER(H61),IF(ISERROR(VLOOKUP($A61,'[1]liste reference'!$A$7:$P$906,4,0)),IF(ISERROR(VLOOKUP($A61,'[1]liste reference'!$B$7:$P$906,3,0)),"",VLOOKUP($A61,'[1]liste reference'!$B$7:$P$906,3,0)),VLOOKUP($A61,'[1]liste reference'!$A$7:$P$906,4,0)),"")</f>
        <v/>
      </c>
      <c r="K61" s="221" t="str">
        <f aca="false">IF(A61="NEW.COD",AA61,IF(ISTEXT($E61),"DEJA SAISI !",IF(A61="","",IF(ISERROR(VLOOKUP($A61,'[1]liste reference'!$A$7:$D$906,2,0)),IF(ISERROR(VLOOKUP($A61,'[1]liste reference'!$B$7:$D$906,1,0)),"code non répertorié ou synonyme",VLOOKUP($A61,'[1]liste reference'!$B$7:$D$906,1,0)),VLOOKUP(A61,'[1]liste reference'!$A$7:$D$906,2,0)))))</f>
        <v/>
      </c>
      <c r="L61" s="222"/>
      <c r="M61" s="222"/>
      <c r="N61" s="222"/>
      <c r="O61" s="206"/>
      <c r="P61" s="207" t="str">
        <f aca="false">IF(ISTEXT(H61),"",(B61*$B$7/100)+(C61*$C$7/100))</f>
        <v/>
      </c>
      <c r="Q61" s="208" t="str">
        <f aca="false">IF(OR(ISTEXT(H61),P61=0),"",IF(P61&lt;0.1,1,IF(P61&lt;1,2,IF(P61&lt;10,3,IF(P61&lt;50,4,IF(P61&gt;=50,5,""))))))</f>
        <v/>
      </c>
      <c r="R61" s="208" t="n">
        <f aca="false">IF(ISERROR(Q61*I61),0,Q61*I61)</f>
        <v>0</v>
      </c>
      <c r="S61" s="208" t="n">
        <f aca="false">IF(ISERROR(Q61*I61*J61),0,Q61*I61*J61)</f>
        <v>0</v>
      </c>
      <c r="T61" s="223" t="n">
        <f aca="false">IF(ISERROR(Q61*J61),0,Q61*J61)</f>
        <v>0</v>
      </c>
      <c r="U61" s="209" t="str">
        <f aca="false">IF(AND(A61="",F61=0),"",IF(F61=0,"Il manque le(s) % de rec. !",""))</f>
        <v/>
      </c>
      <c r="V61" s="210"/>
      <c r="X61" s="211" t="str">
        <f aca="false">IF(A61="new.cod","NEW.COD",IF(AND((Y61=""),ISTEXT(A61)),A61,IF(Y61="","",INDEX('[1]liste reference'!$A$7:$A$906,Y61))))</f>
        <v/>
      </c>
      <c r="Y61" s="9" t="str">
        <f aca="false">IF(ISERROR(MATCH(A61,'[1]liste reference'!$A$7:$A$906,0)),IF(ISERROR(MATCH(A61,'[1]liste reference'!$B$7:$B$906,0)),"",(MATCH(A61,'[1]liste reference'!$B$7:$B$906,0))),(MATCH(A61,'[1]liste reference'!$A$7:$A$906,0)))</f>
        <v/>
      </c>
      <c r="Z61" s="212"/>
      <c r="AA61" s="213"/>
      <c r="BB61" s="9" t="str">
        <f aca="false">IF(A61="","",1)</f>
        <v/>
      </c>
    </row>
    <row r="62" customFormat="false" ht="12.75" hidden="false" customHeight="false" outlineLevel="0" collapsed="false">
      <c r="A62" s="214"/>
      <c r="B62" s="215"/>
      <c r="C62" s="216"/>
      <c r="D62" s="217" t="str">
        <f aca="false">IF(ISERROR(VLOOKUP($A62,'[1]liste reference'!$A$7:$D$906,2,0)),IF(ISERROR(VLOOKUP($A62,'[1]liste reference'!$B$7:$D$906,1,0)),"",VLOOKUP($A62,'[1]liste reference'!$B$7:$D$906,1,0)),VLOOKUP($A62,'[1]liste reference'!$A$7:$D$906,2,0))</f>
        <v/>
      </c>
      <c r="E62" s="217" t="n">
        <f aca="false">IF(D62="",0,VLOOKUP(D62,D$22:D54,1,0))</f>
        <v>0</v>
      </c>
      <c r="F62" s="226" t="n">
        <f aca="false">($B62*$B$7+$C62*$C$7)/100</f>
        <v>0</v>
      </c>
      <c r="G62" s="219" t="str">
        <f aca="false">IF(A62="","",IF(ISERROR(VLOOKUP($A62,'[1]liste reference'!$A$7:$P$906,13,0)),IF(ISERROR(VLOOKUP($A62,'[1]liste reference'!$B$7:$P$906,12,0)),"    -",VLOOKUP($A62,'[1]liste reference'!$B$7:$P$906,12,0)),VLOOKUP($A62,'[1]liste reference'!$A$7:$P$906,13,0)))</f>
        <v/>
      </c>
      <c r="H62" s="201" t="str">
        <f aca="false">IF(A62="","x",IF(ISERROR(VLOOKUP($A62,'[1]liste reference'!$A$7:$P$906,14,0)),IF(ISERROR(VLOOKUP($A62,'[1]liste reference'!$B$7:$P$906,13,0)),"x",VLOOKUP($A62,'[1]liste reference'!$B$7:$P$906,13,0)),VLOOKUP($A62,'[1]liste reference'!$A$7:$P$906,14,0)))</f>
        <v>x</v>
      </c>
      <c r="I62" s="220" t="str">
        <f aca="false">IF(ISNUMBER(H62),IF(ISERROR(VLOOKUP($A62,'[1]liste reference'!$A$7:$P$906,3,0)),IF(ISERROR(VLOOKUP($A62,'[1]liste reference'!$B$7:$P$906,2,0)),"",VLOOKUP($A62,'[1]liste reference'!$B$7:$P$906,2,0)),VLOOKUP($A62,'[1]liste reference'!$A$7:$P$906,3,0)),"")</f>
        <v/>
      </c>
      <c r="J62" s="203" t="str">
        <f aca="false">IF(ISNUMBER(H62),IF(ISERROR(VLOOKUP($A62,'[1]liste reference'!$A$7:$P$906,4,0)),IF(ISERROR(VLOOKUP($A62,'[1]liste reference'!$B$7:$P$906,3,0)),"",VLOOKUP($A62,'[1]liste reference'!$B$7:$P$906,3,0)),VLOOKUP($A62,'[1]liste reference'!$A$7:$P$906,4,0)),"")</f>
        <v/>
      </c>
      <c r="K62" s="221" t="str">
        <f aca="false">IF(A62="NEW.COD",AA62,IF(ISTEXT($E62),"DEJA SAISI !",IF(A62="","",IF(ISERROR(VLOOKUP($A62,'[1]liste reference'!$A$7:$D$906,2,0)),IF(ISERROR(VLOOKUP($A62,'[1]liste reference'!$B$7:$D$906,1,0)),"code non répertorié ou synonyme",VLOOKUP($A62,'[1]liste reference'!$B$7:$D$906,1,0)),VLOOKUP(A62,'[1]liste reference'!$A$7:$D$906,2,0)))))</f>
        <v/>
      </c>
      <c r="L62" s="222"/>
      <c r="M62" s="222"/>
      <c r="N62" s="222"/>
      <c r="O62" s="206"/>
      <c r="P62" s="207" t="str">
        <f aca="false">IF(ISTEXT(H62),"",(B62*$B$7/100)+(C62*$C$7/100))</f>
        <v/>
      </c>
      <c r="Q62" s="208" t="str">
        <f aca="false">IF(OR(ISTEXT(H62),P62=0),"",IF(P62&lt;0.1,1,IF(P62&lt;1,2,IF(P62&lt;10,3,IF(P62&lt;50,4,IF(P62&gt;=50,5,""))))))</f>
        <v/>
      </c>
      <c r="R62" s="208" t="n">
        <f aca="false">IF(ISERROR(Q62*I62),0,Q62*I62)</f>
        <v>0</v>
      </c>
      <c r="S62" s="208" t="n">
        <f aca="false">IF(ISERROR(Q62*I62*J62),0,Q62*I62*J62)</f>
        <v>0</v>
      </c>
      <c r="T62" s="223" t="n">
        <f aca="false">IF(ISERROR(Q62*J62),0,Q62*J62)</f>
        <v>0</v>
      </c>
      <c r="U62" s="209" t="str">
        <f aca="false">IF(AND(A62="",F62=0),"",IF(F62=0,"Il manque le(s) % de rec. !",""))</f>
        <v/>
      </c>
      <c r="V62" s="210"/>
      <c r="X62" s="211" t="str">
        <f aca="false">IF(A62="new.cod","NEW.COD",IF(AND((Y62=""),ISTEXT(A62)),A62,IF(Y62="","",INDEX('[1]liste reference'!$A$7:$A$906,Y62))))</f>
        <v/>
      </c>
      <c r="Y62" s="9" t="str">
        <f aca="false">IF(ISERROR(MATCH(A62,'[1]liste reference'!$A$7:$A$906,0)),IF(ISERROR(MATCH(A62,'[1]liste reference'!$B$7:$B$906,0)),"",(MATCH(A62,'[1]liste reference'!$B$7:$B$906,0))),(MATCH(A62,'[1]liste reference'!$A$7:$A$906,0)))</f>
        <v/>
      </c>
      <c r="Z62" s="212"/>
      <c r="AA62" s="213"/>
      <c r="BB62" s="9" t="str">
        <f aca="false">IF(A62="","",1)</f>
        <v/>
      </c>
    </row>
    <row r="63" customFormat="false" ht="12.75" hidden="false" customHeight="false" outlineLevel="0" collapsed="false">
      <c r="A63" s="214"/>
      <c r="B63" s="215"/>
      <c r="C63" s="216"/>
      <c r="D63" s="217" t="str">
        <f aca="false">IF(ISERROR(VLOOKUP($A63,'[1]liste reference'!$A$7:$D$906,2,0)),IF(ISERROR(VLOOKUP($A63,'[1]liste reference'!$B$7:$D$906,1,0)),"",VLOOKUP($A63,'[1]liste reference'!$B$7:$D$906,1,0)),VLOOKUP($A63,'[1]liste reference'!$A$7:$D$906,2,0))</f>
        <v/>
      </c>
      <c r="E63" s="217" t="n">
        <f aca="false">IF(D63="",0,VLOOKUP(D63,D$22:D55,1,0))</f>
        <v>0</v>
      </c>
      <c r="F63" s="226" t="n">
        <f aca="false">($B63*$B$7+$C63*$C$7)/100</f>
        <v>0</v>
      </c>
      <c r="G63" s="219" t="str">
        <f aca="false">IF(A63="","",IF(ISERROR(VLOOKUP($A63,'[1]liste reference'!$A$7:$P$906,13,0)),IF(ISERROR(VLOOKUP($A63,'[1]liste reference'!$B$7:$P$906,12,0)),"    -",VLOOKUP($A63,'[1]liste reference'!$B$7:$P$906,12,0)),VLOOKUP($A63,'[1]liste reference'!$A$7:$P$906,13,0)))</f>
        <v/>
      </c>
      <c r="H63" s="201" t="str">
        <f aca="false">IF(A63="","x",IF(ISERROR(VLOOKUP($A63,'[1]liste reference'!$A$7:$P$906,14,0)),IF(ISERROR(VLOOKUP($A63,'[1]liste reference'!$B$7:$P$906,13,0)),"x",VLOOKUP($A63,'[1]liste reference'!$B$7:$P$906,13,0)),VLOOKUP($A63,'[1]liste reference'!$A$7:$P$906,14,0)))</f>
        <v>x</v>
      </c>
      <c r="I63" s="220" t="str">
        <f aca="false">IF(ISNUMBER(H63),IF(ISERROR(VLOOKUP($A63,'[1]liste reference'!$A$7:$P$906,3,0)),IF(ISERROR(VLOOKUP($A63,'[1]liste reference'!$B$7:$P$906,2,0)),"",VLOOKUP($A63,'[1]liste reference'!$B$7:$P$906,2,0)),VLOOKUP($A63,'[1]liste reference'!$A$7:$P$906,3,0)),"")</f>
        <v/>
      </c>
      <c r="J63" s="203" t="str">
        <f aca="false">IF(ISNUMBER(H63),IF(ISERROR(VLOOKUP($A63,'[1]liste reference'!$A$7:$P$906,4,0)),IF(ISERROR(VLOOKUP($A63,'[1]liste reference'!$B$7:$P$906,3,0)),"",VLOOKUP($A63,'[1]liste reference'!$B$7:$P$906,3,0)),VLOOKUP($A63,'[1]liste reference'!$A$7:$P$906,4,0)),"")</f>
        <v/>
      </c>
      <c r="K63" s="221" t="str">
        <f aca="false">IF(A63="NEW.COD",AA63,IF(ISTEXT($E63),"DEJA SAISI !",IF(A63="","",IF(ISERROR(VLOOKUP($A63,'[1]liste reference'!$A$7:$D$906,2,0)),IF(ISERROR(VLOOKUP($A63,'[1]liste reference'!$B$7:$D$906,1,0)),"code non répertorié ou synonyme",VLOOKUP($A63,'[1]liste reference'!$B$7:$D$906,1,0)),VLOOKUP(A63,'[1]liste reference'!$A$7:$D$906,2,0)))))</f>
        <v/>
      </c>
      <c r="L63" s="222"/>
      <c r="M63" s="222"/>
      <c r="N63" s="222"/>
      <c r="O63" s="206"/>
      <c r="P63" s="207" t="str">
        <f aca="false">IF(ISTEXT(H63),"",(B63*$B$7/100)+(C63*$C$7/100))</f>
        <v/>
      </c>
      <c r="Q63" s="208" t="str">
        <f aca="false">IF(OR(ISTEXT(H63),P63=0),"",IF(P63&lt;0.1,1,IF(P63&lt;1,2,IF(P63&lt;10,3,IF(P63&lt;50,4,IF(P63&gt;=50,5,""))))))</f>
        <v/>
      </c>
      <c r="R63" s="208" t="n">
        <f aca="false">IF(ISERROR(Q63*I63),0,Q63*I63)</f>
        <v>0</v>
      </c>
      <c r="S63" s="208" t="n">
        <f aca="false">IF(ISERROR(Q63*I63*J63),0,Q63*I63*J63)</f>
        <v>0</v>
      </c>
      <c r="T63" s="223" t="n">
        <f aca="false">IF(ISERROR(Q63*J63),0,Q63*J63)</f>
        <v>0</v>
      </c>
      <c r="U63" s="209" t="str">
        <f aca="false">IF(AND(A63="",F63=0),"",IF(F63=0,"Il manque le(s) % de rec. !",""))</f>
        <v/>
      </c>
      <c r="V63" s="210"/>
      <c r="X63" s="211" t="str">
        <f aca="false">IF(A63="new.cod","NEW.COD",IF(AND((Y63=""),ISTEXT(A63)),A63,IF(Y63="","",INDEX('[1]liste reference'!$A$7:$A$906,Y63))))</f>
        <v/>
      </c>
      <c r="Y63" s="9" t="str">
        <f aca="false">IF(ISERROR(MATCH(A63,'[1]liste reference'!$A$7:$A$906,0)),IF(ISERROR(MATCH(A63,'[1]liste reference'!$B$7:$B$906,0)),"",(MATCH(A63,'[1]liste reference'!$B$7:$B$906,0))),(MATCH(A63,'[1]liste reference'!$A$7:$A$906,0)))</f>
        <v/>
      </c>
      <c r="Z63" s="212"/>
      <c r="AA63" s="213"/>
      <c r="BB63" s="9" t="str">
        <f aca="false">IF(A63="","",1)</f>
        <v/>
      </c>
    </row>
    <row r="64" customFormat="false" ht="12.75" hidden="false" customHeight="true" outlineLevel="0" collapsed="false">
      <c r="A64" s="214"/>
      <c r="B64" s="215"/>
      <c r="C64" s="216"/>
      <c r="D64" s="217" t="str">
        <f aca="false">IF(ISERROR(VLOOKUP($A64,'[1]liste reference'!$A$7:$D$906,2,0)),IF(ISERROR(VLOOKUP($A64,'[1]liste reference'!$B$7:$D$906,1,0)),"",VLOOKUP($A64,'[1]liste reference'!$B$7:$D$906,1,0)),VLOOKUP($A64,'[1]liste reference'!$A$7:$D$906,2,0))</f>
        <v/>
      </c>
      <c r="E64" s="217" t="n">
        <f aca="false">IF(D64="",0,VLOOKUP(D64,D$22:D52,1,0))</f>
        <v>0</v>
      </c>
      <c r="F64" s="226" t="n">
        <f aca="false">($B64*$B$7+$C64*$C$7)/100</f>
        <v>0</v>
      </c>
      <c r="G64" s="219" t="str">
        <f aca="false">IF(A64="","",IF(ISERROR(VLOOKUP($A64,'[1]liste reference'!$A$7:$P$906,13,0)),IF(ISERROR(VLOOKUP($A64,'[1]liste reference'!$B$7:$P$906,12,0)),"    -",VLOOKUP($A64,'[1]liste reference'!$B$7:$P$906,12,0)),VLOOKUP($A64,'[1]liste reference'!$A$7:$P$906,13,0)))</f>
        <v/>
      </c>
      <c r="H64" s="201" t="str">
        <f aca="false">IF(A64="","x",IF(ISERROR(VLOOKUP($A64,'[1]liste reference'!$A$7:$P$906,14,0)),IF(ISERROR(VLOOKUP($A64,'[1]liste reference'!$B$7:$P$906,13,0)),"x",VLOOKUP($A64,'[1]liste reference'!$B$7:$P$906,13,0)),VLOOKUP($A64,'[1]liste reference'!$A$7:$P$906,14,0)))</f>
        <v>x</v>
      </c>
      <c r="I64" s="220" t="str">
        <f aca="false">IF(ISNUMBER(H64),IF(ISERROR(VLOOKUP($A64,'[1]liste reference'!$A$7:$P$906,3,0)),IF(ISERROR(VLOOKUP($A64,'[1]liste reference'!$B$7:$P$906,2,0)),"",VLOOKUP($A64,'[1]liste reference'!$B$7:$P$906,2,0)),VLOOKUP($A64,'[1]liste reference'!$A$7:$P$906,3,0)),"")</f>
        <v/>
      </c>
      <c r="J64" s="203" t="str">
        <f aca="false">IF(ISNUMBER(H64),IF(ISERROR(VLOOKUP($A64,'[1]liste reference'!$A$7:$P$906,4,0)),IF(ISERROR(VLOOKUP($A64,'[1]liste reference'!$B$7:$P$906,3,0)),"",VLOOKUP($A64,'[1]liste reference'!$B$7:$P$906,3,0)),VLOOKUP($A64,'[1]liste reference'!$A$7:$P$906,4,0)),"")</f>
        <v/>
      </c>
      <c r="K64" s="221" t="str">
        <f aca="false">IF(A64="NEW.COD",AA64,IF(ISTEXT($E64),"DEJA SAISI !",IF(A64="","",IF(ISERROR(VLOOKUP($A64,'[1]liste reference'!$A$7:$D$906,2,0)),IF(ISERROR(VLOOKUP($A64,'[1]liste reference'!$B$7:$D$906,1,0)),"code non répertorié ou synonyme",VLOOKUP($A64,'[1]liste reference'!$B$7:$D$906,1,0)),VLOOKUP(A64,'[1]liste reference'!$A$7:$D$906,2,0)))))</f>
        <v/>
      </c>
      <c r="L64" s="222"/>
      <c r="M64" s="222"/>
      <c r="N64" s="222"/>
      <c r="O64" s="206"/>
      <c r="P64" s="207" t="str">
        <f aca="false">IF(ISTEXT(H64),"",(B64*$B$7/100)+(C64*$C$7/100))</f>
        <v/>
      </c>
      <c r="Q64" s="208" t="str">
        <f aca="false">IF(OR(ISTEXT(H64),P64=0),"",IF(P64&lt;0.1,1,IF(P64&lt;1,2,IF(P64&lt;10,3,IF(P64&lt;50,4,IF(P64&gt;=50,5,""))))))</f>
        <v/>
      </c>
      <c r="R64" s="208" t="n">
        <f aca="false">IF(ISERROR(Q64*I64),0,Q64*I64)</f>
        <v>0</v>
      </c>
      <c r="S64" s="208" t="n">
        <f aca="false">IF(ISERROR(Q64*I64*J64),0,Q64*I64*J64)</f>
        <v>0</v>
      </c>
      <c r="T64" s="223" t="n">
        <f aca="false">IF(ISERROR(Q64*J64),0,Q64*J64)</f>
        <v>0</v>
      </c>
      <c r="U64" s="209" t="str">
        <f aca="false">IF(AND(A64="",F64=0),"",IF(F64=0,"Il manque le(s) % de rec. !",""))</f>
        <v/>
      </c>
      <c r="V64" s="210"/>
      <c r="X64" s="211" t="str">
        <f aca="false">IF(A64="new.cod","NEW.COD",IF(AND((Y64=""),ISTEXT(A64)),A64,IF(Y64="","",INDEX('[1]liste reference'!$A$7:$A$906,Y64))))</f>
        <v/>
      </c>
      <c r="Y64" s="9" t="str">
        <f aca="false">IF(ISERROR(MATCH(A64,'[1]liste reference'!$A$7:$A$906,0)),IF(ISERROR(MATCH(A64,'[1]liste reference'!$B$7:$B$906,0)),"",(MATCH(A64,'[1]liste reference'!$B$7:$B$906,0))),(MATCH(A64,'[1]liste reference'!$A$7:$A$906,0)))</f>
        <v/>
      </c>
      <c r="Z64" s="212"/>
      <c r="AA64" s="213"/>
      <c r="BB64" s="9" t="str">
        <f aca="false">IF(A64="","",1)</f>
        <v/>
      </c>
    </row>
    <row r="65" customFormat="false" ht="12.75" hidden="false" customHeight="false" outlineLevel="0" collapsed="false">
      <c r="A65" s="214"/>
      <c r="B65" s="215"/>
      <c r="C65" s="216"/>
      <c r="D65" s="217" t="str">
        <f aca="false">IF(ISERROR(VLOOKUP($A65,'[1]liste reference'!$A$7:$D$906,2,0)),IF(ISERROR(VLOOKUP($A65,'[1]liste reference'!$B$7:$D$906,1,0)),"",VLOOKUP($A65,'[1]liste reference'!$B$7:$D$906,1,0)),VLOOKUP($A65,'[1]liste reference'!$A$7:$D$906,2,0))</f>
        <v/>
      </c>
      <c r="E65" s="217" t="n">
        <f aca="false">IF(D65="",0,VLOOKUP(D65,D$22:D53,1,0))</f>
        <v>0</v>
      </c>
      <c r="F65" s="226" t="n">
        <f aca="false">($B65*$B$7+$C65*$C$7)/100</f>
        <v>0</v>
      </c>
      <c r="G65" s="219" t="str">
        <f aca="false">IF(A65="","",IF(ISERROR(VLOOKUP($A65,'[1]liste reference'!$A$7:$P$906,13,0)),IF(ISERROR(VLOOKUP($A65,'[1]liste reference'!$B$7:$P$906,12,0)),"    -",VLOOKUP($A65,'[1]liste reference'!$B$7:$P$906,12,0)),VLOOKUP($A65,'[1]liste reference'!$A$7:$P$906,13,0)))</f>
        <v/>
      </c>
      <c r="H65" s="201" t="str">
        <f aca="false">IF(A65="","x",IF(ISERROR(VLOOKUP($A65,'[1]liste reference'!$A$7:$P$906,14,0)),IF(ISERROR(VLOOKUP($A65,'[1]liste reference'!$B$7:$P$906,13,0)),"x",VLOOKUP($A65,'[1]liste reference'!$B$7:$P$906,13,0)),VLOOKUP($A65,'[1]liste reference'!$A$7:$P$906,14,0)))</f>
        <v>x</v>
      </c>
      <c r="I65" s="220" t="str">
        <f aca="false">IF(ISNUMBER(H65),IF(ISERROR(VLOOKUP($A65,'[1]liste reference'!$A$7:$P$906,3,0)),IF(ISERROR(VLOOKUP($A65,'[1]liste reference'!$B$7:$P$906,2,0)),"",VLOOKUP($A65,'[1]liste reference'!$B$7:$P$906,2,0)),VLOOKUP($A65,'[1]liste reference'!$A$7:$P$906,3,0)),"")</f>
        <v/>
      </c>
      <c r="J65" s="203" t="str">
        <f aca="false">IF(ISNUMBER(H65),IF(ISERROR(VLOOKUP($A65,'[1]liste reference'!$A$7:$P$906,4,0)),IF(ISERROR(VLOOKUP($A65,'[1]liste reference'!$B$7:$P$906,3,0)),"",VLOOKUP($A65,'[1]liste reference'!$B$7:$P$906,3,0)),VLOOKUP($A65,'[1]liste reference'!$A$7:$P$906,4,0)),"")</f>
        <v/>
      </c>
      <c r="K65" s="221" t="str">
        <f aca="false">IF(A65="NEW.COD",AA65,IF(ISTEXT($E65),"DEJA SAISI !",IF(A65="","",IF(ISERROR(VLOOKUP($A65,'[1]liste reference'!$A$7:$D$906,2,0)),IF(ISERROR(VLOOKUP($A65,'[1]liste reference'!$B$7:$D$906,1,0)),"code non répertorié ou synonyme",VLOOKUP($A65,'[1]liste reference'!$B$7:$D$906,1,0)),VLOOKUP(A65,'[1]liste reference'!$A$7:$D$906,2,0)))))</f>
        <v/>
      </c>
      <c r="L65" s="222"/>
      <c r="M65" s="222"/>
      <c r="N65" s="222"/>
      <c r="O65" s="206"/>
      <c r="P65" s="207" t="str">
        <f aca="false">IF(ISTEXT(H65),"",(B65*$B$7/100)+(C65*$C$7/100))</f>
        <v/>
      </c>
      <c r="Q65" s="208" t="str">
        <f aca="false">IF(OR(ISTEXT(H65),P65=0),"",IF(P65&lt;0.1,1,IF(P65&lt;1,2,IF(P65&lt;10,3,IF(P65&lt;50,4,IF(P65&gt;=50,5,""))))))</f>
        <v/>
      </c>
      <c r="R65" s="208" t="n">
        <f aca="false">IF(ISERROR(Q65*I65),0,Q65*I65)</f>
        <v>0</v>
      </c>
      <c r="S65" s="208" t="n">
        <f aca="false">IF(ISERROR(Q65*I65*J65),0,Q65*I65*J65)</f>
        <v>0</v>
      </c>
      <c r="T65" s="223" t="n">
        <f aca="false">IF(ISERROR(Q65*J65),0,Q65*J65)</f>
        <v>0</v>
      </c>
      <c r="U65" s="209" t="str">
        <f aca="false">IF(AND(A65="",F65=0),"",IF(F65=0,"Il manque le(s) % de rec. !",""))</f>
        <v/>
      </c>
      <c r="V65" s="210"/>
      <c r="X65" s="211" t="str">
        <f aca="false">IF(A65="new.cod","NEW.COD",IF(AND((Y65=""),ISTEXT(A65)),A65,IF(Y65="","",INDEX('[1]liste reference'!$A$7:$A$906,Y65))))</f>
        <v/>
      </c>
      <c r="Y65" s="9" t="str">
        <f aca="false">IF(ISERROR(MATCH(A65,'[1]liste reference'!$A$7:$A$906,0)),IF(ISERROR(MATCH(A65,'[1]liste reference'!$B$7:$B$906,0)),"",(MATCH(A65,'[1]liste reference'!$B$7:$B$906,0))),(MATCH(A65,'[1]liste reference'!$A$7:$A$906,0)))</f>
        <v/>
      </c>
      <c r="Z65" s="212"/>
      <c r="AA65" s="213"/>
      <c r="BB65" s="9" t="str">
        <f aca="false">IF(A65="","",1)</f>
        <v/>
      </c>
    </row>
    <row r="66" customFormat="false" ht="12.75" hidden="false" customHeight="false" outlineLevel="0" collapsed="false">
      <c r="A66" s="214"/>
      <c r="B66" s="215"/>
      <c r="C66" s="216"/>
      <c r="D66" s="217" t="str">
        <f aca="false">IF(ISERROR(VLOOKUP($A66,'[1]liste reference'!$A$7:$D$906,2,0)),IF(ISERROR(VLOOKUP($A66,'[1]liste reference'!$B$7:$D$906,1,0)),"",VLOOKUP($A66,'[1]liste reference'!$B$7:$D$906,1,0)),VLOOKUP($A66,'[1]liste reference'!$A$7:$D$906,2,0))</f>
        <v/>
      </c>
      <c r="E66" s="217" t="n">
        <f aca="false">IF(D66="",0,VLOOKUP(D66,D$22:D51,1,0))</f>
        <v>0</v>
      </c>
      <c r="F66" s="226" t="n">
        <f aca="false">($B66*$B$7+$C66*$C$7)/100</f>
        <v>0</v>
      </c>
      <c r="G66" s="219" t="str">
        <f aca="false">IF(A66="","",IF(ISERROR(VLOOKUP($A66,'[1]liste reference'!$A$7:$P$906,13,0)),IF(ISERROR(VLOOKUP($A66,'[1]liste reference'!$B$7:$P$906,12,0)),"    -",VLOOKUP($A66,'[1]liste reference'!$B$7:$P$906,12,0)),VLOOKUP($A66,'[1]liste reference'!$A$7:$P$906,13,0)))</f>
        <v/>
      </c>
      <c r="H66" s="201" t="str">
        <f aca="false">IF(A66="","x",IF(ISERROR(VLOOKUP($A66,'[1]liste reference'!$A$7:$P$906,14,0)),IF(ISERROR(VLOOKUP($A66,'[1]liste reference'!$B$7:$P$906,13,0)),"x",VLOOKUP($A66,'[1]liste reference'!$B$7:$P$906,13,0)),VLOOKUP($A66,'[1]liste reference'!$A$7:$P$906,14,0)))</f>
        <v>x</v>
      </c>
      <c r="I66" s="220" t="str">
        <f aca="false">IF(ISNUMBER(H66),IF(ISERROR(VLOOKUP($A66,'[1]liste reference'!$A$7:$P$906,3,0)),IF(ISERROR(VLOOKUP($A66,'[1]liste reference'!$B$7:$P$906,2,0)),"",VLOOKUP($A66,'[1]liste reference'!$B$7:$P$906,2,0)),VLOOKUP($A66,'[1]liste reference'!$A$7:$P$906,3,0)),"")</f>
        <v/>
      </c>
      <c r="J66" s="203" t="str">
        <f aca="false">IF(ISNUMBER(H66),IF(ISERROR(VLOOKUP($A66,'[1]liste reference'!$A$7:$P$906,4,0)),IF(ISERROR(VLOOKUP($A66,'[1]liste reference'!$B$7:$P$906,3,0)),"",VLOOKUP($A66,'[1]liste reference'!$B$7:$P$906,3,0)),VLOOKUP($A66,'[1]liste reference'!$A$7:$P$906,4,0)),"")</f>
        <v/>
      </c>
      <c r="K66" s="221" t="str">
        <f aca="false">IF(A66="NEW.COD",AA66,IF(ISTEXT($E66),"DEJA SAISI !",IF(A66="","",IF(ISERROR(VLOOKUP($A66,'[1]liste reference'!$A$7:$D$906,2,0)),IF(ISERROR(VLOOKUP($A66,'[1]liste reference'!$B$7:$D$906,1,0)),"code non répertorié ou synonyme",VLOOKUP($A66,'[1]liste reference'!$B$7:$D$906,1,0)),VLOOKUP(A66,'[1]liste reference'!$A$7:$D$906,2,0)))))</f>
        <v/>
      </c>
      <c r="L66" s="222"/>
      <c r="M66" s="222"/>
      <c r="N66" s="222"/>
      <c r="O66" s="206"/>
      <c r="P66" s="207" t="str">
        <f aca="false">IF(ISTEXT(H66),"",(B66*$B$7/100)+(C66*$C$7/100))</f>
        <v/>
      </c>
      <c r="Q66" s="208" t="str">
        <f aca="false">IF(OR(ISTEXT(H66),P66=0),"",IF(P66&lt;0.1,1,IF(P66&lt;1,2,IF(P66&lt;10,3,IF(P66&lt;50,4,IF(P66&gt;=50,5,""))))))</f>
        <v/>
      </c>
      <c r="R66" s="208" t="n">
        <f aca="false">IF(ISERROR(Q66*I66),0,Q66*I66)</f>
        <v>0</v>
      </c>
      <c r="S66" s="208" t="n">
        <f aca="false">IF(ISERROR(Q66*I66*J66),0,Q66*I66*J66)</f>
        <v>0</v>
      </c>
      <c r="T66" s="223" t="n">
        <f aca="false">IF(ISERROR(Q66*J66),0,Q66*J66)</f>
        <v>0</v>
      </c>
      <c r="U66" s="209" t="str">
        <f aca="false">IF(AND(A66="",F66=0),"",IF(F66=0,"Il manque le(s) % de rec. !",""))</f>
        <v/>
      </c>
      <c r="V66" s="210"/>
      <c r="X66" s="211" t="str">
        <f aca="false">IF(A66="new.cod","NEW.COD",IF(AND((Y66=""),ISTEXT(A66)),A66,IF(Y66="","",INDEX('[1]liste reference'!$A$7:$A$906,Y66))))</f>
        <v/>
      </c>
      <c r="Y66" s="9" t="str">
        <f aca="false">IF(ISERROR(MATCH(A66,'[1]liste reference'!$A$7:$A$906,0)),IF(ISERROR(MATCH(A66,'[1]liste reference'!$B$7:$B$906,0)),"",(MATCH(A66,'[1]liste reference'!$B$7:$B$906,0))),(MATCH(A66,'[1]liste reference'!$A$7:$A$906,0)))</f>
        <v/>
      </c>
      <c r="Z66" s="212"/>
      <c r="AA66" s="213"/>
      <c r="BB66" s="9" t="str">
        <f aca="false">IF(A66="","",1)</f>
        <v/>
      </c>
    </row>
    <row r="67" customFormat="false" ht="12.75" hidden="false" customHeight="false" outlineLevel="0" collapsed="false">
      <c r="A67" s="214"/>
      <c r="B67" s="215"/>
      <c r="C67" s="216"/>
      <c r="D67" s="217" t="str">
        <f aca="false">IF(ISERROR(VLOOKUP($A67,'[1]liste reference'!$A$7:$D$906,2,0)),IF(ISERROR(VLOOKUP($A67,'[1]liste reference'!$B$7:$D$906,1,0)),"",VLOOKUP($A67,'[1]liste reference'!$B$7:$D$906,1,0)),VLOOKUP($A67,'[1]liste reference'!$A$7:$D$906,2,0))</f>
        <v/>
      </c>
      <c r="E67" s="217" t="n">
        <f aca="false">IF(D67="",0,VLOOKUP(D67,D$22:D52,1,0))</f>
        <v>0</v>
      </c>
      <c r="F67" s="226" t="n">
        <f aca="false">($B67*$B$7+$C67*$C$7)/100</f>
        <v>0</v>
      </c>
      <c r="G67" s="219" t="str">
        <f aca="false">IF(A67="","",IF(ISERROR(VLOOKUP($A67,'[1]liste reference'!$A$7:$P$906,13,0)),IF(ISERROR(VLOOKUP($A67,'[1]liste reference'!$B$7:$P$906,12,0)),"    -",VLOOKUP($A67,'[1]liste reference'!$B$7:$P$906,12,0)),VLOOKUP($A67,'[1]liste reference'!$A$7:$P$906,13,0)))</f>
        <v/>
      </c>
      <c r="H67" s="201" t="str">
        <f aca="false">IF(A67="","x",IF(ISERROR(VLOOKUP($A67,'[1]liste reference'!$A$7:$P$906,14,0)),IF(ISERROR(VLOOKUP($A67,'[1]liste reference'!$B$7:$P$906,13,0)),"x",VLOOKUP($A67,'[1]liste reference'!$B$7:$P$906,13,0)),VLOOKUP($A67,'[1]liste reference'!$A$7:$P$906,14,0)))</f>
        <v>x</v>
      </c>
      <c r="I67" s="220" t="str">
        <f aca="false">IF(ISNUMBER(H67),IF(ISERROR(VLOOKUP($A67,'[1]liste reference'!$A$7:$P$906,3,0)),IF(ISERROR(VLOOKUP($A67,'[1]liste reference'!$B$7:$P$906,2,0)),"",VLOOKUP($A67,'[1]liste reference'!$B$7:$P$906,2,0)),VLOOKUP($A67,'[1]liste reference'!$A$7:$P$906,3,0)),"")</f>
        <v/>
      </c>
      <c r="J67" s="203" t="str">
        <f aca="false">IF(ISNUMBER(H67),IF(ISERROR(VLOOKUP($A67,'[1]liste reference'!$A$7:$P$906,4,0)),IF(ISERROR(VLOOKUP($A67,'[1]liste reference'!$B$7:$P$906,3,0)),"",VLOOKUP($A67,'[1]liste reference'!$B$7:$P$906,3,0)),VLOOKUP($A67,'[1]liste reference'!$A$7:$P$906,4,0)),"")</f>
        <v/>
      </c>
      <c r="K67" s="221" t="str">
        <f aca="false">IF(A67="NEW.COD",AA67,IF(ISTEXT($E67),"DEJA SAISI !",IF(A67="","",IF(ISERROR(VLOOKUP($A67,'[1]liste reference'!$A$7:$D$906,2,0)),IF(ISERROR(VLOOKUP($A67,'[1]liste reference'!$B$7:$D$906,1,0)),"code non répertorié ou synonyme",VLOOKUP($A67,'[1]liste reference'!$B$7:$D$906,1,0)),VLOOKUP(A67,'[1]liste reference'!$A$7:$D$906,2,0)))))</f>
        <v/>
      </c>
      <c r="L67" s="222"/>
      <c r="M67" s="222"/>
      <c r="N67" s="222"/>
      <c r="O67" s="206"/>
      <c r="P67" s="207" t="str">
        <f aca="false">IF(ISTEXT(H67),"",(B67*$B$7/100)+(C67*$C$7/100))</f>
        <v/>
      </c>
      <c r="Q67" s="208" t="str">
        <f aca="false">IF(OR(ISTEXT(H67),P67=0),"",IF(P67&lt;0.1,1,IF(P67&lt;1,2,IF(P67&lt;10,3,IF(P67&lt;50,4,IF(P67&gt;=50,5,""))))))</f>
        <v/>
      </c>
      <c r="R67" s="208" t="n">
        <f aca="false">IF(ISERROR(Q67*I67),0,Q67*I67)</f>
        <v>0</v>
      </c>
      <c r="S67" s="208" t="n">
        <f aca="false">IF(ISERROR(Q67*I67*J67),0,Q67*I67*J67)</f>
        <v>0</v>
      </c>
      <c r="T67" s="223" t="n">
        <f aca="false">IF(ISERROR(Q67*J67),0,Q67*J67)</f>
        <v>0</v>
      </c>
      <c r="U67" s="209" t="str">
        <f aca="false">IF(AND(A67="",F67=0),"",IF(F67=0,"Il manque le(s) % de rec. !",""))</f>
        <v/>
      </c>
      <c r="V67" s="210"/>
      <c r="X67" s="211" t="str">
        <f aca="false">IF(A67="new.cod","NEW.COD",IF(AND((Y67=""),ISTEXT(A67)),A67,IF(Y67="","",INDEX('[1]liste reference'!$A$7:$A$906,Y67))))</f>
        <v/>
      </c>
      <c r="Y67" s="9" t="str">
        <f aca="false">IF(ISERROR(MATCH(A67,'[1]liste reference'!$A$7:$A$906,0)),IF(ISERROR(MATCH(A67,'[1]liste reference'!$B$7:$B$906,0)),"",(MATCH(A67,'[1]liste reference'!$B$7:$B$906,0))),(MATCH(A67,'[1]liste reference'!$A$7:$A$906,0)))</f>
        <v/>
      </c>
      <c r="Z67" s="212"/>
      <c r="AA67" s="213"/>
      <c r="BB67" s="9" t="str">
        <f aca="false">IF(A67="","",1)</f>
        <v/>
      </c>
    </row>
    <row r="68" customFormat="false" ht="12.75" hidden="false" customHeight="false" outlineLevel="0" collapsed="false">
      <c r="A68" s="214"/>
      <c r="B68" s="215"/>
      <c r="C68" s="216"/>
      <c r="D68" s="217" t="str">
        <f aca="false">IF(ISERROR(VLOOKUP($A68,'[1]liste reference'!$A$7:$D$906,2,0)),IF(ISERROR(VLOOKUP($A68,'[1]liste reference'!$B$7:$D$906,1,0)),"",VLOOKUP($A68,'[1]liste reference'!$B$7:$D$906,1,0)),VLOOKUP($A68,'[1]liste reference'!$A$7:$D$906,2,0))</f>
        <v/>
      </c>
      <c r="E68" s="217" t="n">
        <f aca="false">IF(D68="",0,VLOOKUP(D68,D$22:D53,1,0))</f>
        <v>0</v>
      </c>
      <c r="F68" s="226" t="n">
        <f aca="false">($B68*$B$7+$C68*$C$7)/100</f>
        <v>0</v>
      </c>
      <c r="G68" s="219" t="str">
        <f aca="false">IF(A68="","",IF(ISERROR(VLOOKUP($A68,'[1]liste reference'!$A$7:$P$906,13,0)),IF(ISERROR(VLOOKUP($A68,'[1]liste reference'!$B$7:$P$906,12,0)),"    -",VLOOKUP($A68,'[1]liste reference'!$B$7:$P$906,12,0)),VLOOKUP($A68,'[1]liste reference'!$A$7:$P$906,13,0)))</f>
        <v/>
      </c>
      <c r="H68" s="201" t="str">
        <f aca="false">IF(A68="","x",IF(ISERROR(VLOOKUP($A68,'[1]liste reference'!$A$7:$P$906,14,0)),IF(ISERROR(VLOOKUP($A68,'[1]liste reference'!$B$7:$P$906,13,0)),"x",VLOOKUP($A68,'[1]liste reference'!$B$7:$P$906,13,0)),VLOOKUP($A68,'[1]liste reference'!$A$7:$P$906,14,0)))</f>
        <v>x</v>
      </c>
      <c r="I68" s="220" t="str">
        <f aca="false">IF(ISNUMBER(H68),IF(ISERROR(VLOOKUP($A68,'[1]liste reference'!$A$7:$P$906,3,0)),IF(ISERROR(VLOOKUP($A68,'[1]liste reference'!$B$7:$P$906,2,0)),"",VLOOKUP($A68,'[1]liste reference'!$B$7:$P$906,2,0)),VLOOKUP($A68,'[1]liste reference'!$A$7:$P$906,3,0)),"")</f>
        <v/>
      </c>
      <c r="J68" s="203" t="str">
        <f aca="false">IF(ISNUMBER(H68),IF(ISERROR(VLOOKUP($A68,'[1]liste reference'!$A$7:$P$906,4,0)),IF(ISERROR(VLOOKUP($A68,'[1]liste reference'!$B$7:$P$906,3,0)),"",VLOOKUP($A68,'[1]liste reference'!$B$7:$P$906,3,0)),VLOOKUP($A68,'[1]liste reference'!$A$7:$P$906,4,0)),"")</f>
        <v/>
      </c>
      <c r="K68" s="221" t="str">
        <f aca="false">IF(A68="NEW.COD",AA68,IF(ISTEXT($E68),"DEJA SAISI !",IF(A68="","",IF(ISERROR(VLOOKUP($A68,'[1]liste reference'!$A$7:$D$906,2,0)),IF(ISERROR(VLOOKUP($A68,'[1]liste reference'!$B$7:$D$906,1,0)),"code non répertorié ou synonyme",VLOOKUP($A68,'[1]liste reference'!$B$7:$D$906,1,0)),VLOOKUP(A68,'[1]liste reference'!$A$7:$D$906,2,0)))))</f>
        <v/>
      </c>
      <c r="L68" s="222"/>
      <c r="M68" s="222"/>
      <c r="N68" s="222"/>
      <c r="O68" s="206"/>
      <c r="P68" s="207" t="str">
        <f aca="false">IF(ISTEXT(H68),"",(B68*$B$7/100)+(C68*$C$7/100))</f>
        <v/>
      </c>
      <c r="Q68" s="208" t="str">
        <f aca="false">IF(OR(ISTEXT(H68),P68=0),"",IF(P68&lt;0.1,1,IF(P68&lt;1,2,IF(P68&lt;10,3,IF(P68&lt;50,4,IF(P68&gt;=50,5,""))))))</f>
        <v/>
      </c>
      <c r="R68" s="208" t="n">
        <f aca="false">IF(ISERROR(Q68*I68),0,Q68*I68)</f>
        <v>0</v>
      </c>
      <c r="S68" s="208" t="n">
        <f aca="false">IF(ISERROR(Q68*I68*J68),0,Q68*I68*J68)</f>
        <v>0</v>
      </c>
      <c r="T68" s="223" t="n">
        <f aca="false">IF(ISERROR(Q68*J68),0,Q68*J68)</f>
        <v>0</v>
      </c>
      <c r="U68" s="209" t="str">
        <f aca="false">IF(AND(A68="",F68=0),"",IF(F68=0,"Il manque le(s) % de rec. !",""))</f>
        <v/>
      </c>
      <c r="V68" s="210"/>
      <c r="X68" s="211" t="str">
        <f aca="false">IF(A68="new.cod","NEW.COD",IF(AND((Y68=""),ISTEXT(A68)),A68,IF(Y68="","",INDEX('[1]liste reference'!$A$7:$A$906,Y68))))</f>
        <v/>
      </c>
      <c r="Y68" s="9" t="str">
        <f aca="false">IF(ISERROR(MATCH(A68,'[1]liste reference'!$A$7:$A$906,0)),IF(ISERROR(MATCH(A68,'[1]liste reference'!$B$7:$B$906,0)),"",(MATCH(A68,'[1]liste reference'!$B$7:$B$906,0))),(MATCH(A68,'[1]liste reference'!$A$7:$A$906,0)))</f>
        <v/>
      </c>
      <c r="Z68" s="212"/>
      <c r="AA68" s="213"/>
      <c r="BB68" s="9" t="str">
        <f aca="false">IF(A68="","",1)</f>
        <v/>
      </c>
    </row>
    <row r="69" customFormat="false" ht="12.75" hidden="false" customHeight="false" outlineLevel="0" collapsed="false">
      <c r="A69" s="214"/>
      <c r="B69" s="215"/>
      <c r="C69" s="216"/>
      <c r="D69" s="217" t="str">
        <f aca="false">IF(ISERROR(VLOOKUP($A69,'[1]liste reference'!$A$7:$D$906,2,0)),IF(ISERROR(VLOOKUP($A69,'[1]liste reference'!$B$7:$D$906,1,0)),"",VLOOKUP($A69,'[1]liste reference'!$B$7:$D$906,1,0)),VLOOKUP($A69,'[1]liste reference'!$A$7:$D$906,2,0))</f>
        <v/>
      </c>
      <c r="E69" s="217" t="n">
        <f aca="false">IF(D69="",0,VLOOKUP(D69,D$22:D54,1,0))</f>
        <v>0</v>
      </c>
      <c r="F69" s="226" t="n">
        <f aca="false">($B69*$B$7+$C69*$C$7)/100</f>
        <v>0</v>
      </c>
      <c r="G69" s="219" t="str">
        <f aca="false">IF(A69="","",IF(ISERROR(VLOOKUP($A69,'[1]liste reference'!$A$7:$P$906,13,0)),IF(ISERROR(VLOOKUP($A69,'[1]liste reference'!$B$7:$P$906,12,0)),"    -",VLOOKUP($A69,'[1]liste reference'!$B$7:$P$906,12,0)),VLOOKUP($A69,'[1]liste reference'!$A$7:$P$906,13,0)))</f>
        <v/>
      </c>
      <c r="H69" s="201" t="str">
        <f aca="false">IF(A69="","x",IF(ISERROR(VLOOKUP($A69,'[1]liste reference'!$A$7:$P$906,14,0)),IF(ISERROR(VLOOKUP($A69,'[1]liste reference'!$B$7:$P$906,13,0)),"x",VLOOKUP($A69,'[1]liste reference'!$B$7:$P$906,13,0)),VLOOKUP($A69,'[1]liste reference'!$A$7:$P$906,14,0)))</f>
        <v>x</v>
      </c>
      <c r="I69" s="220" t="str">
        <f aca="false">IF(ISNUMBER(H69),IF(ISERROR(VLOOKUP($A69,'[1]liste reference'!$A$7:$P$906,3,0)),IF(ISERROR(VLOOKUP($A69,'[1]liste reference'!$B$7:$P$906,2,0)),"",VLOOKUP($A69,'[1]liste reference'!$B$7:$P$906,2,0)),VLOOKUP($A69,'[1]liste reference'!$A$7:$P$906,3,0)),"")</f>
        <v/>
      </c>
      <c r="J69" s="203" t="str">
        <f aca="false">IF(ISNUMBER(H69),IF(ISERROR(VLOOKUP($A69,'[1]liste reference'!$A$7:$P$906,4,0)),IF(ISERROR(VLOOKUP($A69,'[1]liste reference'!$B$7:$P$906,3,0)),"",VLOOKUP($A69,'[1]liste reference'!$B$7:$P$906,3,0)),VLOOKUP($A69,'[1]liste reference'!$A$7:$P$906,4,0)),"")</f>
        <v/>
      </c>
      <c r="K69" s="221" t="str">
        <f aca="false">IF(A69="NEW.COD",AA69,IF(ISTEXT($E69),"DEJA SAISI !",IF(A69="","",IF(ISERROR(VLOOKUP($A69,'[1]liste reference'!$A$7:$D$906,2,0)),IF(ISERROR(VLOOKUP($A69,'[1]liste reference'!$B$7:$D$906,1,0)),"code non répertorié ou synonyme",VLOOKUP($A69,'[1]liste reference'!$B$7:$D$906,1,0)),VLOOKUP(A69,'[1]liste reference'!$A$7:$D$906,2,0)))))</f>
        <v/>
      </c>
      <c r="L69" s="222"/>
      <c r="M69" s="222"/>
      <c r="N69" s="222"/>
      <c r="O69" s="206"/>
      <c r="P69" s="207" t="str">
        <f aca="false">IF(ISTEXT(H69),"",(B69*$B$7/100)+(C69*$C$7/100))</f>
        <v/>
      </c>
      <c r="Q69" s="208" t="str">
        <f aca="false">IF(OR(ISTEXT(H69),P69=0),"",IF(P69&lt;0.1,1,IF(P69&lt;1,2,IF(P69&lt;10,3,IF(P69&lt;50,4,IF(P69&gt;=50,5,""))))))</f>
        <v/>
      </c>
      <c r="R69" s="208" t="n">
        <f aca="false">IF(ISERROR(Q69*I69),0,Q69*I69)</f>
        <v>0</v>
      </c>
      <c r="S69" s="208" t="n">
        <f aca="false">IF(ISERROR(Q69*I69*J69),0,Q69*I69*J69)</f>
        <v>0</v>
      </c>
      <c r="T69" s="223" t="n">
        <f aca="false">IF(ISERROR(Q69*J69),0,Q69*J69)</f>
        <v>0</v>
      </c>
      <c r="U69" s="209" t="str">
        <f aca="false">IF(AND(A69="",F69=0),"",IF(F69=0,"Il manque le(s) % de rec. !",""))</f>
        <v/>
      </c>
      <c r="V69" s="210"/>
      <c r="X69" s="211" t="str">
        <f aca="false">IF(A69="new.cod","NEW.COD",IF(AND((Y69=""),ISTEXT(A69)),A69,IF(Y69="","",INDEX('[1]liste reference'!$A$7:$A$906,Y69))))</f>
        <v/>
      </c>
      <c r="Y69" s="9" t="str">
        <f aca="false">IF(ISERROR(MATCH(A69,'[1]liste reference'!$A$7:$A$906,0)),IF(ISERROR(MATCH(A69,'[1]liste reference'!$B$7:$B$906,0)),"",(MATCH(A69,'[1]liste reference'!$B$7:$B$906,0))),(MATCH(A69,'[1]liste reference'!$A$7:$A$906,0)))</f>
        <v/>
      </c>
      <c r="Z69" s="212"/>
      <c r="AA69" s="213"/>
      <c r="BB69" s="9" t="str">
        <f aca="false">IF(A69="","",1)</f>
        <v/>
      </c>
    </row>
    <row r="70" customFormat="false" ht="12.75" hidden="false" customHeight="false" outlineLevel="0" collapsed="false">
      <c r="A70" s="214"/>
      <c r="B70" s="215"/>
      <c r="C70" s="216"/>
      <c r="D70" s="217" t="str">
        <f aca="false">IF(ISERROR(VLOOKUP($A70,'[1]liste reference'!$A$7:$D$906,2,0)),IF(ISERROR(VLOOKUP($A70,'[1]liste reference'!$B$7:$D$906,1,0)),"",VLOOKUP($A70,'[1]liste reference'!$B$7:$D$906,1,0)),VLOOKUP($A70,'[1]liste reference'!$A$7:$D$906,2,0))</f>
        <v/>
      </c>
      <c r="E70" s="217" t="n">
        <f aca="false">IF(D70="",0,VLOOKUP(D70,D$22:D55,1,0))</f>
        <v>0</v>
      </c>
      <c r="F70" s="226" t="n">
        <f aca="false">($B70*$B$7+$C70*$C$7)/100</f>
        <v>0</v>
      </c>
      <c r="G70" s="219" t="str">
        <f aca="false">IF(A70="","",IF(ISERROR(VLOOKUP($A70,'[1]liste reference'!$A$7:$P$906,13,0)),IF(ISERROR(VLOOKUP($A70,'[1]liste reference'!$B$7:$P$906,12,0)),"    -",VLOOKUP($A70,'[1]liste reference'!$B$7:$P$906,12,0)),VLOOKUP($A70,'[1]liste reference'!$A$7:$P$906,13,0)))</f>
        <v/>
      </c>
      <c r="H70" s="201" t="str">
        <f aca="false">IF(A70="","x",IF(ISERROR(VLOOKUP($A70,'[1]liste reference'!$A$7:$P$906,14,0)),IF(ISERROR(VLOOKUP($A70,'[1]liste reference'!$B$7:$P$906,13,0)),"x",VLOOKUP($A70,'[1]liste reference'!$B$7:$P$906,13,0)),VLOOKUP($A70,'[1]liste reference'!$A$7:$P$906,14,0)))</f>
        <v>x</v>
      </c>
      <c r="I70" s="220" t="str">
        <f aca="false">IF(ISNUMBER(H70),IF(ISERROR(VLOOKUP($A70,'[1]liste reference'!$A$7:$P$906,3,0)),IF(ISERROR(VLOOKUP($A70,'[1]liste reference'!$B$7:$P$906,2,0)),"",VLOOKUP($A70,'[1]liste reference'!$B$7:$P$906,2,0)),VLOOKUP($A70,'[1]liste reference'!$A$7:$P$906,3,0)),"")</f>
        <v/>
      </c>
      <c r="J70" s="203" t="str">
        <f aca="false">IF(ISNUMBER(H70),IF(ISERROR(VLOOKUP($A70,'[1]liste reference'!$A$7:$P$906,4,0)),IF(ISERROR(VLOOKUP($A70,'[1]liste reference'!$B$7:$P$906,3,0)),"",VLOOKUP($A70,'[1]liste reference'!$B$7:$P$906,3,0)),VLOOKUP($A70,'[1]liste reference'!$A$7:$P$906,4,0)),"")</f>
        <v/>
      </c>
      <c r="K70" s="221" t="str">
        <f aca="false">IF(A70="NEW.COD",AA70,IF(ISTEXT($E70),"DEJA SAISI !",IF(A70="","",IF(ISERROR(VLOOKUP($A70,'[1]liste reference'!$A$7:$D$906,2,0)),IF(ISERROR(VLOOKUP($A70,'[1]liste reference'!$B$7:$D$906,1,0)),"code non répertorié ou synonyme",VLOOKUP($A70,'[1]liste reference'!$B$7:$D$906,1,0)),VLOOKUP(A70,'[1]liste reference'!$A$7:$D$906,2,0)))))</f>
        <v/>
      </c>
      <c r="L70" s="222"/>
      <c r="M70" s="222"/>
      <c r="N70" s="222"/>
      <c r="O70" s="206"/>
      <c r="P70" s="207" t="str">
        <f aca="false">IF(ISTEXT(H70),"",(B70*$B$7/100)+(C70*$C$7/100))</f>
        <v/>
      </c>
      <c r="Q70" s="208" t="str">
        <f aca="false">IF(OR(ISTEXT(H70),P70=0),"",IF(P70&lt;0.1,1,IF(P70&lt;1,2,IF(P70&lt;10,3,IF(P70&lt;50,4,IF(P70&gt;=50,5,""))))))</f>
        <v/>
      </c>
      <c r="R70" s="208" t="n">
        <f aca="false">IF(ISERROR(Q70*I70),0,Q70*I70)</f>
        <v>0</v>
      </c>
      <c r="S70" s="208" t="n">
        <f aca="false">IF(ISERROR(Q70*I70*J70),0,Q70*I70*J70)</f>
        <v>0</v>
      </c>
      <c r="T70" s="223" t="n">
        <f aca="false">IF(ISERROR(Q70*J70),0,Q70*J70)</f>
        <v>0</v>
      </c>
      <c r="U70" s="209" t="str">
        <f aca="false">IF(AND(A70="",F70=0),"",IF(F70=0,"Il manque le(s) % de rec. !",""))</f>
        <v/>
      </c>
      <c r="V70" s="210"/>
      <c r="X70" s="211" t="str">
        <f aca="false">IF(A70="new.cod","NEW.COD",IF(AND((Y70=""),ISTEXT(A70)),A70,IF(Y70="","",INDEX('[1]liste reference'!$A$7:$A$906,Y70))))</f>
        <v/>
      </c>
      <c r="Y70" s="9" t="str">
        <f aca="false">IF(ISERROR(MATCH(A70,'[1]liste reference'!$A$7:$A$906,0)),IF(ISERROR(MATCH(A70,'[1]liste reference'!$B$7:$B$906,0)),"",(MATCH(A70,'[1]liste reference'!$B$7:$B$906,0))),(MATCH(A70,'[1]liste reference'!$A$7:$A$906,0)))</f>
        <v/>
      </c>
      <c r="Z70" s="212"/>
      <c r="AA70" s="213"/>
      <c r="BB70" s="9" t="str">
        <f aca="false">IF(A70="","",1)</f>
        <v/>
      </c>
    </row>
    <row r="71" customFormat="false" ht="12.75" hidden="false" customHeight="false" outlineLevel="0" collapsed="false">
      <c r="A71" s="214"/>
      <c r="B71" s="215"/>
      <c r="C71" s="216"/>
      <c r="D71" s="217" t="str">
        <f aca="false">IF(ISERROR(VLOOKUP($A71,'[1]liste reference'!$A$7:$D$906,2,0)),IF(ISERROR(VLOOKUP($A71,'[1]liste reference'!$B$7:$D$906,1,0)),"",VLOOKUP($A71,'[1]liste reference'!$B$7:$D$906,1,0)),VLOOKUP($A71,'[1]liste reference'!$A$7:$D$906,2,0))</f>
        <v/>
      </c>
      <c r="E71" s="217" t="n">
        <f aca="false">IF(D71="",0,VLOOKUP(D71,D$22:D55,1,0))</f>
        <v>0</v>
      </c>
      <c r="F71" s="226" t="n">
        <f aca="false">($B71*$B$7+$C71*$C$7)/100</f>
        <v>0</v>
      </c>
      <c r="G71" s="219" t="str">
        <f aca="false">IF(A71="","",IF(ISERROR(VLOOKUP($A71,'[1]liste reference'!$A$7:$P$906,13,0)),IF(ISERROR(VLOOKUP($A71,'[1]liste reference'!$B$7:$P$906,12,0)),"    -",VLOOKUP($A71,'[1]liste reference'!$B$7:$P$906,12,0)),VLOOKUP($A71,'[1]liste reference'!$A$7:$P$906,13,0)))</f>
        <v/>
      </c>
      <c r="H71" s="201" t="str">
        <f aca="false">IF(A71="","x",IF(ISERROR(VLOOKUP($A71,'[1]liste reference'!$A$7:$P$906,14,0)),IF(ISERROR(VLOOKUP($A71,'[1]liste reference'!$B$7:$P$906,13,0)),"x",VLOOKUP($A71,'[1]liste reference'!$B$7:$P$906,13,0)),VLOOKUP($A71,'[1]liste reference'!$A$7:$P$906,14,0)))</f>
        <v>x</v>
      </c>
      <c r="I71" s="220" t="str">
        <f aca="false">IF(ISNUMBER(H71),IF(ISERROR(VLOOKUP($A71,'[1]liste reference'!$A$7:$P$906,3,0)),IF(ISERROR(VLOOKUP($A71,'[1]liste reference'!$B$7:$P$906,2,0)),"",VLOOKUP($A71,'[1]liste reference'!$B$7:$P$906,2,0)),VLOOKUP($A71,'[1]liste reference'!$A$7:$P$906,3,0)),"")</f>
        <v/>
      </c>
      <c r="J71" s="203" t="str">
        <f aca="false">IF(ISNUMBER(H71),IF(ISERROR(VLOOKUP($A71,'[1]liste reference'!$A$7:$P$906,4,0)),IF(ISERROR(VLOOKUP($A71,'[1]liste reference'!$B$7:$P$906,3,0)),"",VLOOKUP($A71,'[1]liste reference'!$B$7:$P$906,3,0)),VLOOKUP($A71,'[1]liste reference'!$A$7:$P$906,4,0)),"")</f>
        <v/>
      </c>
      <c r="K71" s="221" t="str">
        <f aca="false">IF(A71="NEW.COD",AA71,IF(ISTEXT($E71),"DEJA SAISI !",IF(A71="","",IF(ISERROR(VLOOKUP($A71,'[1]liste reference'!$A$7:$D$906,2,0)),IF(ISERROR(VLOOKUP($A71,'[1]liste reference'!$B$7:$D$906,1,0)),"code non répertorié ou synonyme",VLOOKUP($A71,'[1]liste reference'!$B$7:$D$906,1,0)),VLOOKUP(A71,'[1]liste reference'!$A$7:$D$906,2,0)))))</f>
        <v/>
      </c>
      <c r="L71" s="222"/>
      <c r="M71" s="222"/>
      <c r="N71" s="222"/>
      <c r="O71" s="206"/>
      <c r="P71" s="207" t="str">
        <f aca="false">IF(ISTEXT(H71),"",(B71*$B$7/100)+(C71*$C$7/100))</f>
        <v/>
      </c>
      <c r="Q71" s="208" t="str">
        <f aca="false">IF(OR(ISTEXT(H71),P71=0),"",IF(P71&lt;0.1,1,IF(P71&lt;1,2,IF(P71&lt;10,3,IF(P71&lt;50,4,IF(P71&gt;=50,5,""))))))</f>
        <v/>
      </c>
      <c r="R71" s="208" t="n">
        <f aca="false">IF(ISERROR(Q71*I71),0,Q71*I71)</f>
        <v>0</v>
      </c>
      <c r="S71" s="208" t="n">
        <f aca="false">IF(ISERROR(Q71*I71*J71),0,Q71*I71*J71)</f>
        <v>0</v>
      </c>
      <c r="T71" s="223" t="n">
        <f aca="false">IF(ISERROR(Q71*J71),0,Q71*J71)</f>
        <v>0</v>
      </c>
      <c r="U71" s="209" t="str">
        <f aca="false">IF(AND(A71="",F71=0),"",IF(F71=0,"Il manque le(s) % de rec. !",""))</f>
        <v/>
      </c>
      <c r="V71" s="210"/>
      <c r="X71" s="211" t="str">
        <f aca="false">IF(A71="new.cod","NEW.COD",IF(AND((Y71=""),ISTEXT(A71)),A71,IF(Y71="","",INDEX('[1]liste reference'!$A$7:$A$906,Y71))))</f>
        <v/>
      </c>
      <c r="Y71" s="9" t="str">
        <f aca="false">IF(ISERROR(MATCH(A71,'[1]liste reference'!$A$7:$A$906,0)),IF(ISERROR(MATCH(A71,'[1]liste reference'!$B$7:$B$906,0)),"",(MATCH(A71,'[1]liste reference'!$B$7:$B$906,0))),(MATCH(A71,'[1]liste reference'!$A$7:$A$906,0)))</f>
        <v/>
      </c>
      <c r="Z71" s="212"/>
      <c r="AA71" s="213"/>
      <c r="BB71" s="9" t="str">
        <f aca="false">IF(A71="","",1)</f>
        <v/>
      </c>
    </row>
    <row r="72" customFormat="false" ht="12.75" hidden="false" customHeight="false" outlineLevel="0" collapsed="false">
      <c r="A72" s="214"/>
      <c r="B72" s="215"/>
      <c r="C72" s="216"/>
      <c r="D72" s="217" t="str">
        <f aca="false">IF(ISERROR(VLOOKUP($A72,'[1]liste reference'!$A$7:$D$906,2,0)),IF(ISERROR(VLOOKUP($A72,'[1]liste reference'!$B$7:$D$906,1,0)),"",VLOOKUP($A72,'[1]liste reference'!$B$7:$D$906,1,0)),VLOOKUP($A72,'[1]liste reference'!$A$7:$D$906,2,0))</f>
        <v/>
      </c>
      <c r="E72" s="217" t="n">
        <f aca="false">IF(D72="",0,VLOOKUP(D72,D$22:D56,1,0))</f>
        <v>0</v>
      </c>
      <c r="F72" s="226" t="n">
        <f aca="false">($B72*$B$7+$C72*$C$7)/100</f>
        <v>0</v>
      </c>
      <c r="G72" s="219" t="str">
        <f aca="false">IF(A72="","",IF(ISERROR(VLOOKUP($A72,'[1]liste reference'!$A$7:$P$906,13,0)),IF(ISERROR(VLOOKUP($A72,'[1]liste reference'!$B$7:$P$906,12,0)),"    -",VLOOKUP($A72,'[1]liste reference'!$B$7:$P$906,12,0)),VLOOKUP($A72,'[1]liste reference'!$A$7:$P$906,13,0)))</f>
        <v/>
      </c>
      <c r="H72" s="201" t="str">
        <f aca="false">IF(A72="","x",IF(ISERROR(VLOOKUP($A72,'[1]liste reference'!$A$7:$P$906,14,0)),IF(ISERROR(VLOOKUP($A72,'[1]liste reference'!$B$7:$P$906,13,0)),"x",VLOOKUP($A72,'[1]liste reference'!$B$7:$P$906,13,0)),VLOOKUP($A72,'[1]liste reference'!$A$7:$P$906,14,0)))</f>
        <v>x</v>
      </c>
      <c r="I72" s="220" t="str">
        <f aca="false">IF(ISNUMBER(H72),IF(ISERROR(VLOOKUP($A72,'[1]liste reference'!$A$7:$P$906,3,0)),IF(ISERROR(VLOOKUP($A72,'[1]liste reference'!$B$7:$P$906,2,0)),"",VLOOKUP($A72,'[1]liste reference'!$B$7:$P$906,2,0)),VLOOKUP($A72,'[1]liste reference'!$A$7:$P$906,3,0)),"")</f>
        <v/>
      </c>
      <c r="J72" s="203" t="str">
        <f aca="false">IF(ISNUMBER(H72),IF(ISERROR(VLOOKUP($A72,'[1]liste reference'!$A$7:$P$906,4,0)),IF(ISERROR(VLOOKUP($A72,'[1]liste reference'!$B$7:$P$906,3,0)),"",VLOOKUP($A72,'[1]liste reference'!$B$7:$P$906,3,0)),VLOOKUP($A72,'[1]liste reference'!$A$7:$P$906,4,0)),"")</f>
        <v/>
      </c>
      <c r="K72" s="221" t="str">
        <f aca="false">IF(A72="NEW.COD",AA72,IF(ISTEXT($E72),"DEJA SAISI !",IF(A72="","",IF(ISERROR(VLOOKUP($A72,'[1]liste reference'!$A$7:$D$906,2,0)),IF(ISERROR(VLOOKUP($A72,'[1]liste reference'!$B$7:$D$906,1,0)),"code non répertorié ou synonyme",VLOOKUP($A72,'[1]liste reference'!$B$7:$D$906,1,0)),VLOOKUP(A72,'[1]liste reference'!$A$7:$D$906,2,0)))))</f>
        <v/>
      </c>
      <c r="L72" s="222"/>
      <c r="M72" s="222"/>
      <c r="N72" s="222"/>
      <c r="O72" s="206"/>
      <c r="P72" s="207" t="str">
        <f aca="false">IF(ISTEXT(H72),"",(B72*$B$7/100)+(C72*$C$7/100))</f>
        <v/>
      </c>
      <c r="Q72" s="208" t="str">
        <f aca="false">IF(OR(ISTEXT(H72),P72=0),"",IF(P72&lt;0.1,1,IF(P72&lt;1,2,IF(P72&lt;10,3,IF(P72&lt;50,4,IF(P72&gt;=50,5,""))))))</f>
        <v/>
      </c>
      <c r="R72" s="208" t="n">
        <f aca="false">IF(ISERROR(Q72*I72),0,Q72*I72)</f>
        <v>0</v>
      </c>
      <c r="S72" s="208" t="n">
        <f aca="false">IF(ISERROR(Q72*I72*J72),0,Q72*I72*J72)</f>
        <v>0</v>
      </c>
      <c r="T72" s="223" t="n">
        <f aca="false">IF(ISERROR(Q72*J72),0,Q72*J72)</f>
        <v>0</v>
      </c>
      <c r="U72" s="209" t="str">
        <f aca="false">IF(AND(A72="",F72=0),"",IF(F72=0,"Il manque le(s) % de rec. !",""))</f>
        <v/>
      </c>
      <c r="V72" s="210"/>
      <c r="X72" s="211" t="str">
        <f aca="false">IF(A72="new.cod","NEW.COD",IF(AND((Y72=""),ISTEXT(A72)),A72,IF(Y72="","",INDEX('[1]liste reference'!$A$7:$A$906,Y72))))</f>
        <v/>
      </c>
      <c r="Y72" s="9" t="str">
        <f aca="false">IF(ISERROR(MATCH(A72,'[1]liste reference'!$A$7:$A$906,0)),IF(ISERROR(MATCH(A72,'[1]liste reference'!$B$7:$B$906,0)),"",(MATCH(A72,'[1]liste reference'!$B$7:$B$906,0))),(MATCH(A72,'[1]liste reference'!$A$7:$A$906,0)))</f>
        <v/>
      </c>
      <c r="Z72" s="212"/>
      <c r="AA72" s="213"/>
      <c r="BB72" s="9" t="str">
        <f aca="false">IF(A72="","",1)</f>
        <v/>
      </c>
    </row>
    <row r="73" customFormat="false" ht="12.75" hidden="false" customHeight="false" outlineLevel="0" collapsed="false">
      <c r="A73" s="214"/>
      <c r="B73" s="215"/>
      <c r="C73" s="216"/>
      <c r="D73" s="217" t="str">
        <f aca="false">IF(ISERROR(VLOOKUP($A73,'[1]liste reference'!$A$7:$D$906,2,0)),IF(ISERROR(VLOOKUP($A73,'[1]liste reference'!$B$7:$D$906,1,0)),"",VLOOKUP($A73,'[1]liste reference'!$B$7:$D$906,1,0)),VLOOKUP($A73,'[1]liste reference'!$A$7:$D$906,2,0))</f>
        <v/>
      </c>
      <c r="E73" s="217" t="n">
        <f aca="false">IF(D73="",0,VLOOKUP(D73,D$22:D56,1,0))</f>
        <v>0</v>
      </c>
      <c r="F73" s="226" t="n">
        <f aca="false">($B73*$B$7+$C73*$C$7)/100</f>
        <v>0</v>
      </c>
      <c r="G73" s="219" t="str">
        <f aca="false">IF(A73="","",IF(ISERROR(VLOOKUP($A73,'[1]liste reference'!$A$7:$P$906,13,0)),IF(ISERROR(VLOOKUP($A73,'[1]liste reference'!$B$7:$P$906,12,0)),"    -",VLOOKUP($A73,'[1]liste reference'!$B$7:$P$906,12,0)),VLOOKUP($A73,'[1]liste reference'!$A$7:$P$906,13,0)))</f>
        <v/>
      </c>
      <c r="H73" s="201" t="str">
        <f aca="false">IF(A73="","x",IF(ISERROR(VLOOKUP($A73,'[1]liste reference'!$A$7:$P$906,14,0)),IF(ISERROR(VLOOKUP($A73,'[1]liste reference'!$B$7:$P$906,13,0)),"x",VLOOKUP($A73,'[1]liste reference'!$B$7:$P$906,13,0)),VLOOKUP($A73,'[1]liste reference'!$A$7:$P$906,14,0)))</f>
        <v>x</v>
      </c>
      <c r="I73" s="220" t="str">
        <f aca="false">IF(ISNUMBER(H73),IF(ISERROR(VLOOKUP($A73,'[1]liste reference'!$A$7:$P$906,3,0)),IF(ISERROR(VLOOKUP($A73,'[1]liste reference'!$B$7:$P$906,2,0)),"",VLOOKUP($A73,'[1]liste reference'!$B$7:$P$906,2,0)),VLOOKUP($A73,'[1]liste reference'!$A$7:$P$906,3,0)),"")</f>
        <v/>
      </c>
      <c r="J73" s="203" t="str">
        <f aca="false">IF(ISNUMBER(H73),IF(ISERROR(VLOOKUP($A73,'[1]liste reference'!$A$7:$P$906,4,0)),IF(ISERROR(VLOOKUP($A73,'[1]liste reference'!$B$7:$P$906,3,0)),"",VLOOKUP($A73,'[1]liste reference'!$B$7:$P$906,3,0)),VLOOKUP($A73,'[1]liste reference'!$A$7:$P$906,4,0)),"")</f>
        <v/>
      </c>
      <c r="K73" s="221" t="str">
        <f aca="false">IF(A73="NEW.COD",AA73,IF(ISTEXT($E73),"DEJA SAISI !",IF(A73="","",IF(ISERROR(VLOOKUP($A73,'[1]liste reference'!$A$7:$D$906,2,0)),IF(ISERROR(VLOOKUP($A73,'[1]liste reference'!$B$7:$D$906,1,0)),"code non répertorié ou synonyme",VLOOKUP($A73,'[1]liste reference'!$B$7:$D$906,1,0)),VLOOKUP(A73,'[1]liste reference'!$A$7:$D$906,2,0)))))</f>
        <v/>
      </c>
      <c r="L73" s="222"/>
      <c r="M73" s="222"/>
      <c r="N73" s="222"/>
      <c r="O73" s="206"/>
      <c r="P73" s="207" t="str">
        <f aca="false">IF(ISTEXT(H73),"",(B73*$B$7/100)+(C73*$C$7/100))</f>
        <v/>
      </c>
      <c r="Q73" s="208" t="str">
        <f aca="false">IF(OR(ISTEXT(H73),P73=0),"",IF(P73&lt;0.1,1,IF(P73&lt;1,2,IF(P73&lt;10,3,IF(P73&lt;50,4,IF(P73&gt;=50,5,""))))))</f>
        <v/>
      </c>
      <c r="R73" s="208" t="n">
        <f aca="false">IF(ISERROR(Q73*I73),0,Q73*I73)</f>
        <v>0</v>
      </c>
      <c r="S73" s="208" t="n">
        <f aca="false">IF(ISERROR(Q73*I73*J73),0,Q73*I73*J73)</f>
        <v>0</v>
      </c>
      <c r="T73" s="223" t="n">
        <f aca="false">IF(ISERROR(Q73*J73),0,Q73*J73)</f>
        <v>0</v>
      </c>
      <c r="U73" s="209" t="str">
        <f aca="false">IF(AND(A73="",F73=0),"",IF(F73=0,"Il manque le(s) % de rec. !",""))</f>
        <v/>
      </c>
      <c r="V73" s="210"/>
      <c r="X73" s="211" t="str">
        <f aca="false">IF(A73="new.cod","NEW.COD",IF(AND((Y73=""),ISTEXT(A73)),A73,IF(Y73="","",INDEX('[1]liste reference'!$A$7:$A$906,Y73))))</f>
        <v/>
      </c>
      <c r="Y73" s="9" t="str">
        <f aca="false">IF(ISERROR(MATCH(A73,'[1]liste reference'!$A$7:$A$906,0)),IF(ISERROR(MATCH(A73,'[1]liste reference'!$B$7:$B$906,0)),"",(MATCH(A73,'[1]liste reference'!$B$7:$B$906,0))),(MATCH(A73,'[1]liste reference'!$A$7:$A$906,0)))</f>
        <v/>
      </c>
      <c r="Z73" s="212"/>
      <c r="AA73" s="213"/>
      <c r="BB73" s="9" t="str">
        <f aca="false">IF(A73="","",1)</f>
        <v/>
      </c>
    </row>
    <row r="74" customFormat="false" ht="12.75" hidden="false" customHeight="false" outlineLevel="0" collapsed="false">
      <c r="A74" s="214"/>
      <c r="B74" s="215"/>
      <c r="C74" s="216"/>
      <c r="D74" s="217" t="str">
        <f aca="false">IF(ISERROR(VLOOKUP($A74,'[1]liste reference'!$A$7:$D$906,2,0)),IF(ISERROR(VLOOKUP($A74,'[1]liste reference'!$B$7:$D$906,1,0)),"",VLOOKUP($A74,'[1]liste reference'!$B$7:$D$906,1,0)),VLOOKUP($A74,'[1]liste reference'!$A$7:$D$906,2,0))</f>
        <v/>
      </c>
      <c r="E74" s="217" t="n">
        <f aca="false">IF(D74="",0,VLOOKUP(D74,D$22:D72,1,0))</f>
        <v>0</v>
      </c>
      <c r="F74" s="226" t="n">
        <f aca="false">($B74*$B$7+$C74*$C$7)/100</f>
        <v>0</v>
      </c>
      <c r="G74" s="219" t="str">
        <f aca="false">IF(A74="","",IF(ISERROR(VLOOKUP($A74,'[1]liste reference'!$A$7:$P$906,13,0)),IF(ISERROR(VLOOKUP($A74,'[1]liste reference'!$B$7:$P$906,12,0)),"    -",VLOOKUP($A74,'[1]liste reference'!$B$7:$P$906,12,0)),VLOOKUP($A74,'[1]liste reference'!$A$7:$P$906,13,0)))</f>
        <v/>
      </c>
      <c r="H74" s="201" t="str">
        <f aca="false">IF(A74="","x",IF(ISERROR(VLOOKUP($A74,'[1]liste reference'!$A$7:$P$906,14,0)),IF(ISERROR(VLOOKUP($A74,'[1]liste reference'!$B$7:$P$906,13,0)),"x",VLOOKUP($A74,'[1]liste reference'!$B$7:$P$906,13,0)),VLOOKUP($A74,'[1]liste reference'!$A$7:$P$906,14,0)))</f>
        <v>x</v>
      </c>
      <c r="I74" s="220" t="str">
        <f aca="false">IF(ISNUMBER(H74),IF(ISERROR(VLOOKUP($A74,'[1]liste reference'!$A$7:$P$906,3,0)),IF(ISERROR(VLOOKUP($A74,'[1]liste reference'!$B$7:$P$906,2,0)),"",VLOOKUP($A74,'[1]liste reference'!$B$7:$P$906,2,0)),VLOOKUP($A74,'[1]liste reference'!$A$7:$P$906,3,0)),"")</f>
        <v/>
      </c>
      <c r="J74" s="203" t="str">
        <f aca="false">IF(ISNUMBER(H74),IF(ISERROR(VLOOKUP($A74,'[1]liste reference'!$A$7:$P$906,4,0)),IF(ISERROR(VLOOKUP($A74,'[1]liste reference'!$B$7:$P$906,3,0)),"",VLOOKUP($A74,'[1]liste reference'!$B$7:$P$906,3,0)),VLOOKUP($A74,'[1]liste reference'!$A$7:$P$906,4,0)),"")</f>
        <v/>
      </c>
      <c r="K74" s="221" t="str">
        <f aca="false">IF(A74="NEW.COD",AA74,IF(ISTEXT($E74),"DEJA SAISI !",IF(A74="","",IF(ISERROR(VLOOKUP($A74,'[1]liste reference'!$A$7:$D$906,2,0)),IF(ISERROR(VLOOKUP($A74,'[1]liste reference'!$B$7:$D$906,1,0)),"code non répertorié ou synonyme",VLOOKUP($A74,'[1]liste reference'!$B$7:$D$906,1,0)),VLOOKUP(A74,'[1]liste reference'!$A$7:$D$906,2,0)))))</f>
        <v/>
      </c>
      <c r="L74" s="222"/>
      <c r="M74" s="222"/>
      <c r="N74" s="222"/>
      <c r="O74" s="206"/>
      <c r="P74" s="207" t="str">
        <f aca="false">IF(ISTEXT(H74),"",(B74*$B$7/100)+(C74*$C$7/100))</f>
        <v/>
      </c>
      <c r="Q74" s="208" t="str">
        <f aca="false">IF(OR(ISTEXT(H74),P74=0),"",IF(P74&lt;0.1,1,IF(P74&lt;1,2,IF(P74&lt;10,3,IF(P74&lt;50,4,IF(P74&gt;=50,5,""))))))</f>
        <v/>
      </c>
      <c r="R74" s="208" t="n">
        <f aca="false">IF(ISERROR(Q74*I74),0,Q74*I74)</f>
        <v>0</v>
      </c>
      <c r="S74" s="208" t="n">
        <f aca="false">IF(ISERROR(Q74*I74*J74),0,Q74*I74*J74)</f>
        <v>0</v>
      </c>
      <c r="T74" s="223" t="n">
        <f aca="false">IF(ISERROR(Q74*J74),0,Q74*J74)</f>
        <v>0</v>
      </c>
      <c r="U74" s="209" t="str">
        <f aca="false">IF(AND(A74="",F74=0),"",IF(F74=0,"Il manque le(s) % de rec. !",""))</f>
        <v/>
      </c>
      <c r="V74" s="210"/>
      <c r="X74" s="211" t="str">
        <f aca="false">IF(A74="new.cod","NEW.COD",IF(AND((Y74=""),ISTEXT(A74)),A74,IF(Y74="","",INDEX('[1]liste reference'!$A$7:$A$906,Y74))))</f>
        <v/>
      </c>
      <c r="Y74" s="9" t="str">
        <f aca="false">IF(ISERROR(MATCH(A74,'[1]liste reference'!$A$7:$A$906,0)),IF(ISERROR(MATCH(A74,'[1]liste reference'!$B$7:$B$906,0)),"",(MATCH(A74,'[1]liste reference'!$B$7:$B$906,0))),(MATCH(A74,'[1]liste reference'!$A$7:$A$906,0)))</f>
        <v/>
      </c>
      <c r="Z74" s="212"/>
      <c r="AA74" s="213"/>
      <c r="BB74" s="9" t="str">
        <f aca="false">IF(A74="","",1)</f>
        <v/>
      </c>
    </row>
    <row r="75" customFormat="false" ht="12.75" hidden="false" customHeight="false" outlineLevel="0" collapsed="false">
      <c r="A75" s="214"/>
      <c r="B75" s="215"/>
      <c r="C75" s="216"/>
      <c r="D75" s="217" t="str">
        <f aca="false">IF(ISERROR(VLOOKUP($A75,'[1]liste reference'!$A$7:$D$906,2,0)),IF(ISERROR(VLOOKUP($A75,'[1]liste reference'!$B$7:$D$906,1,0)),"",VLOOKUP($A75,'[1]liste reference'!$B$7:$D$906,1,0)),VLOOKUP($A75,'[1]liste reference'!$A$7:$D$906,2,0))</f>
        <v/>
      </c>
      <c r="E75" s="217" t="n">
        <f aca="false">IF(D75="",0,VLOOKUP(D75,D$22:D72,1,0))</f>
        <v>0</v>
      </c>
      <c r="F75" s="226" t="n">
        <f aca="false">($B75*$B$7+$C75*$C$7)/100</f>
        <v>0</v>
      </c>
      <c r="G75" s="219" t="str">
        <f aca="false">IF(A75="","",IF(ISERROR(VLOOKUP($A75,'[1]liste reference'!$A$7:$P$906,13,0)),IF(ISERROR(VLOOKUP($A75,'[1]liste reference'!$B$7:$P$906,12,0)),"    -",VLOOKUP($A75,'[1]liste reference'!$B$7:$P$906,12,0)),VLOOKUP($A75,'[1]liste reference'!$A$7:$P$906,13,0)))</f>
        <v/>
      </c>
      <c r="H75" s="201" t="str">
        <f aca="false">IF(A75="","x",IF(ISERROR(VLOOKUP($A75,'[1]liste reference'!$A$7:$P$906,14,0)),IF(ISERROR(VLOOKUP($A75,'[1]liste reference'!$B$7:$P$906,13,0)),"x",VLOOKUP($A75,'[1]liste reference'!$B$7:$P$906,13,0)),VLOOKUP($A75,'[1]liste reference'!$A$7:$P$906,14,0)))</f>
        <v>x</v>
      </c>
      <c r="I75" s="220" t="str">
        <f aca="false">IF(ISNUMBER(H75),IF(ISERROR(VLOOKUP($A75,'[1]liste reference'!$A$7:$P$906,3,0)),IF(ISERROR(VLOOKUP($A75,'[1]liste reference'!$B$7:$P$906,2,0)),"",VLOOKUP($A75,'[1]liste reference'!$B$7:$P$906,2,0)),VLOOKUP($A75,'[1]liste reference'!$A$7:$P$906,3,0)),"")</f>
        <v/>
      </c>
      <c r="J75" s="203" t="str">
        <f aca="false">IF(ISNUMBER(H75),IF(ISERROR(VLOOKUP($A75,'[1]liste reference'!$A$7:$P$906,4,0)),IF(ISERROR(VLOOKUP($A75,'[1]liste reference'!$B$7:$P$906,3,0)),"",VLOOKUP($A75,'[1]liste reference'!$B$7:$P$906,3,0)),VLOOKUP($A75,'[1]liste reference'!$A$7:$P$906,4,0)),"")</f>
        <v/>
      </c>
      <c r="K75" s="221" t="str">
        <f aca="false">IF(A75="NEW.COD",AA75,IF(ISTEXT($E75),"DEJA SAISI !",IF(A75="","",IF(ISERROR(VLOOKUP($A75,'[1]liste reference'!$A$7:$D$906,2,0)),IF(ISERROR(VLOOKUP($A75,'[1]liste reference'!$B$7:$D$906,1,0)),"code non répertorié ou synonyme",VLOOKUP($A75,'[1]liste reference'!$B$7:$D$906,1,0)),VLOOKUP(A75,'[1]liste reference'!$A$7:$D$906,2,0)))))</f>
        <v/>
      </c>
      <c r="L75" s="222"/>
      <c r="M75" s="222"/>
      <c r="N75" s="222"/>
      <c r="O75" s="206"/>
      <c r="P75" s="207" t="str">
        <f aca="false">IF(ISTEXT(H75),"",(B75*$B$7/100)+(C75*$C$7/100))</f>
        <v/>
      </c>
      <c r="Q75" s="208" t="str">
        <f aca="false">IF(OR(ISTEXT(H75),P75=0),"",IF(P75&lt;0.1,1,IF(P75&lt;1,2,IF(P75&lt;10,3,IF(P75&lt;50,4,IF(P75&gt;=50,5,""))))))</f>
        <v/>
      </c>
      <c r="R75" s="208" t="n">
        <f aca="false">IF(ISERROR(Q75*I75),0,Q75*I75)</f>
        <v>0</v>
      </c>
      <c r="S75" s="208" t="n">
        <f aca="false">IF(ISERROR(Q75*I75*J75),0,Q75*I75*J75)</f>
        <v>0</v>
      </c>
      <c r="T75" s="223" t="n">
        <f aca="false">IF(ISERROR(Q75*J75),0,Q75*J75)</f>
        <v>0</v>
      </c>
      <c r="U75" s="209" t="str">
        <f aca="false">IF(AND(A75="",F75=0),"",IF(F75=0,"Il manque le(s) % de rec. !",""))</f>
        <v/>
      </c>
      <c r="V75" s="210"/>
      <c r="X75" s="211" t="str">
        <f aca="false">IF(A75="new.cod","NEW.COD",IF(AND((Y75=""),ISTEXT(A75)),A75,IF(Y75="","",INDEX('[1]liste reference'!$A$7:$A$906,Y75))))</f>
        <v/>
      </c>
      <c r="Y75" s="9" t="str">
        <f aca="false">IF(ISERROR(MATCH(A75,'[1]liste reference'!$A$7:$A$906,0)),IF(ISERROR(MATCH(A75,'[1]liste reference'!$B$7:$B$906,0)),"",(MATCH(A75,'[1]liste reference'!$B$7:$B$906,0))),(MATCH(A75,'[1]liste reference'!$A$7:$A$906,0)))</f>
        <v/>
      </c>
      <c r="Z75" s="212"/>
      <c r="AA75" s="213"/>
      <c r="BB75" s="9" t="str">
        <f aca="false">IF(A75="","",1)</f>
        <v/>
      </c>
    </row>
    <row r="76" customFormat="false" ht="12.75" hidden="false" customHeight="false" outlineLevel="0" collapsed="false">
      <c r="A76" s="214"/>
      <c r="B76" s="215"/>
      <c r="C76" s="216"/>
      <c r="D76" s="217" t="str">
        <f aca="false">IF(ISERROR(VLOOKUP($A76,'[1]liste reference'!$A$7:$D$906,2,0)),IF(ISERROR(VLOOKUP($A76,'[1]liste reference'!$B$7:$D$906,1,0)),"",VLOOKUP($A76,'[1]liste reference'!$B$7:$D$906,1,0)),VLOOKUP($A76,'[1]liste reference'!$A$7:$D$906,2,0))</f>
        <v/>
      </c>
      <c r="E76" s="217" t="n">
        <f aca="false">IF(D76="",0,VLOOKUP(D76,D$22:D72,1,0))</f>
        <v>0</v>
      </c>
      <c r="F76" s="226" t="n">
        <f aca="false">($B76*$B$7+$C76*$C$7)/100</f>
        <v>0</v>
      </c>
      <c r="G76" s="219" t="str">
        <f aca="false">IF(A76="","",IF(ISERROR(VLOOKUP($A76,'[1]liste reference'!$A$7:$P$906,13,0)),IF(ISERROR(VLOOKUP($A76,'[1]liste reference'!$B$7:$P$906,12,0)),"    -",VLOOKUP($A76,'[1]liste reference'!$B$7:$P$906,12,0)),VLOOKUP($A76,'[1]liste reference'!$A$7:$P$906,13,0)))</f>
        <v/>
      </c>
      <c r="H76" s="201" t="str">
        <f aca="false">IF(A76="","x",IF(ISERROR(VLOOKUP($A76,'[1]liste reference'!$A$7:$P$906,14,0)),IF(ISERROR(VLOOKUP($A76,'[1]liste reference'!$B$7:$P$906,13,0)),"x",VLOOKUP($A76,'[1]liste reference'!$B$7:$P$906,13,0)),VLOOKUP($A76,'[1]liste reference'!$A$7:$P$906,14,0)))</f>
        <v>x</v>
      </c>
      <c r="I76" s="220" t="str">
        <f aca="false">IF(ISNUMBER(H76),IF(ISERROR(VLOOKUP($A76,'[1]liste reference'!$A$7:$P$906,3,0)),IF(ISERROR(VLOOKUP($A76,'[1]liste reference'!$B$7:$P$906,2,0)),"",VLOOKUP($A76,'[1]liste reference'!$B$7:$P$906,2,0)),VLOOKUP($A76,'[1]liste reference'!$A$7:$P$906,3,0)),"")</f>
        <v/>
      </c>
      <c r="J76" s="203" t="str">
        <f aca="false">IF(ISNUMBER(H76),IF(ISERROR(VLOOKUP($A76,'[1]liste reference'!$A$7:$P$906,4,0)),IF(ISERROR(VLOOKUP($A76,'[1]liste reference'!$B$7:$P$906,3,0)),"",VLOOKUP($A76,'[1]liste reference'!$B$7:$P$906,3,0)),VLOOKUP($A76,'[1]liste reference'!$A$7:$P$906,4,0)),"")</f>
        <v/>
      </c>
      <c r="K76" s="221" t="str">
        <f aca="false">IF(A76="NEW.COD",AA76,IF(ISTEXT($E76),"DEJA SAISI !",IF(A76="","",IF(ISERROR(VLOOKUP($A76,'[1]liste reference'!$A$7:$D$906,2,0)),IF(ISERROR(VLOOKUP($A76,'[1]liste reference'!$B$7:$D$906,1,0)),"code non répertorié ou synonyme",VLOOKUP($A76,'[1]liste reference'!$B$7:$D$906,1,0)),VLOOKUP(A76,'[1]liste reference'!$A$7:$D$906,2,0)))))</f>
        <v/>
      </c>
      <c r="L76" s="222"/>
      <c r="M76" s="222"/>
      <c r="N76" s="222"/>
      <c r="O76" s="206"/>
      <c r="P76" s="207" t="str">
        <f aca="false">IF(ISTEXT(H76),"",(B76*$B$7/100)+(C76*$C$7/100))</f>
        <v/>
      </c>
      <c r="Q76" s="208" t="str">
        <f aca="false">IF(OR(ISTEXT(H76),P76=0),"",IF(P76&lt;0.1,1,IF(P76&lt;1,2,IF(P76&lt;10,3,IF(P76&lt;50,4,IF(P76&gt;=50,5,""))))))</f>
        <v/>
      </c>
      <c r="R76" s="208" t="n">
        <f aca="false">IF(ISERROR(Q76*I76),0,Q76*I76)</f>
        <v>0</v>
      </c>
      <c r="S76" s="208" t="n">
        <f aca="false">IF(ISERROR(Q76*I76*J76),0,Q76*I76*J76)</f>
        <v>0</v>
      </c>
      <c r="T76" s="223" t="n">
        <f aca="false">IF(ISERROR(Q76*J76),0,Q76*J76)</f>
        <v>0</v>
      </c>
      <c r="U76" s="209" t="str">
        <f aca="false">IF(AND(A76="",F76=0),"",IF(F76=0,"Il manque le(s) % de rec. !",""))</f>
        <v/>
      </c>
      <c r="V76" s="210"/>
      <c r="X76" s="211" t="str">
        <f aca="false">IF(A76="new.cod","NEW.COD",IF(AND((Y76=""),ISTEXT(A76)),A76,IF(Y76="","",INDEX('[1]liste reference'!$A$7:$A$906,Y76))))</f>
        <v/>
      </c>
      <c r="Y76" s="9" t="str">
        <f aca="false">IF(ISERROR(MATCH(A76,'[1]liste reference'!$A$7:$A$906,0)),IF(ISERROR(MATCH(A76,'[1]liste reference'!$B$7:$B$906,0)),"",(MATCH(A76,'[1]liste reference'!$B$7:$B$906,0))),(MATCH(A76,'[1]liste reference'!$A$7:$A$906,0)))</f>
        <v/>
      </c>
      <c r="Z76" s="212"/>
      <c r="AA76" s="213"/>
      <c r="BB76" s="9" t="str">
        <f aca="false">IF(A76="","",1)</f>
        <v/>
      </c>
    </row>
    <row r="77" customFormat="false" ht="12.75" hidden="false" customHeight="false" outlineLevel="0" collapsed="false">
      <c r="A77" s="214"/>
      <c r="B77" s="215"/>
      <c r="C77" s="216"/>
      <c r="D77" s="217" t="str">
        <f aca="false">IF(ISERROR(VLOOKUP($A77,'[1]liste reference'!$A$7:$D$906,2,0)),IF(ISERROR(VLOOKUP($A77,'[1]liste reference'!$B$7:$D$906,1,0)),"",VLOOKUP($A77,'[1]liste reference'!$B$7:$D$906,1,0)),VLOOKUP($A77,'[1]liste reference'!$A$7:$D$906,2,0))</f>
        <v/>
      </c>
      <c r="E77" s="217" t="n">
        <f aca="false">IF(D77="",0,VLOOKUP(D77,D$22:D62,1,0))</f>
        <v>0</v>
      </c>
      <c r="F77" s="226" t="n">
        <f aca="false">($B77*$B$7+$C77*$C$7)/100</f>
        <v>0</v>
      </c>
      <c r="G77" s="219" t="str">
        <f aca="false">IF(A77="","",IF(ISERROR(VLOOKUP($A77,'[1]liste reference'!$A$7:$P$906,13,0)),IF(ISERROR(VLOOKUP($A77,'[1]liste reference'!$B$7:$P$906,12,0)),"    -",VLOOKUP($A77,'[1]liste reference'!$B$7:$P$906,12,0)),VLOOKUP($A77,'[1]liste reference'!$A$7:$P$906,13,0)))</f>
        <v/>
      </c>
      <c r="H77" s="201" t="str">
        <f aca="false">IF(A77="","x",IF(ISERROR(VLOOKUP($A77,'[1]liste reference'!$A$7:$P$906,14,0)),IF(ISERROR(VLOOKUP($A77,'[1]liste reference'!$B$7:$P$906,13,0)),"x",VLOOKUP($A77,'[1]liste reference'!$B$7:$P$906,13,0)),VLOOKUP($A77,'[1]liste reference'!$A$7:$P$906,14,0)))</f>
        <v>x</v>
      </c>
      <c r="I77" s="220" t="str">
        <f aca="false">IF(ISNUMBER(H77),IF(ISERROR(VLOOKUP($A77,'[1]liste reference'!$A$7:$P$906,3,0)),IF(ISERROR(VLOOKUP($A77,'[1]liste reference'!$B$7:$P$906,2,0)),"",VLOOKUP($A77,'[1]liste reference'!$B$7:$P$906,2,0)),VLOOKUP($A77,'[1]liste reference'!$A$7:$P$906,3,0)),"")</f>
        <v/>
      </c>
      <c r="J77" s="203" t="str">
        <f aca="false">IF(ISNUMBER(H77),IF(ISERROR(VLOOKUP($A77,'[1]liste reference'!$A$7:$P$906,4,0)),IF(ISERROR(VLOOKUP($A77,'[1]liste reference'!$B$7:$P$906,3,0)),"",VLOOKUP($A77,'[1]liste reference'!$B$7:$P$906,3,0)),VLOOKUP($A77,'[1]liste reference'!$A$7:$P$906,4,0)),"")</f>
        <v/>
      </c>
      <c r="K77" s="221" t="str">
        <f aca="false">IF(A77="NEW.COD",AA77,IF(ISTEXT($E77),"DEJA SAISI !",IF(A77="","",IF(ISERROR(VLOOKUP($A77,'[1]liste reference'!$A$7:$D$906,2,0)),IF(ISERROR(VLOOKUP($A77,'[1]liste reference'!$B$7:$D$906,1,0)),"code non répertorié ou synonyme",VLOOKUP($A77,'[1]liste reference'!$B$7:$D$906,1,0)),VLOOKUP(A77,'[1]liste reference'!$A$7:$D$906,2,0)))))</f>
        <v/>
      </c>
      <c r="L77" s="222"/>
      <c r="M77" s="222"/>
      <c r="N77" s="222"/>
      <c r="O77" s="206"/>
      <c r="P77" s="207" t="str">
        <f aca="false">IF(ISTEXT(H77),"",(B77*$B$7/100)+(C77*$C$7/100))</f>
        <v/>
      </c>
      <c r="Q77" s="208" t="str">
        <f aca="false">IF(OR(ISTEXT(H77),P77=0),"",IF(P77&lt;0.1,1,IF(P77&lt;1,2,IF(P77&lt;10,3,IF(P77&lt;50,4,IF(P77&gt;=50,5,""))))))</f>
        <v/>
      </c>
      <c r="R77" s="208" t="n">
        <f aca="false">IF(ISERROR(Q77*I77),0,Q77*I77)</f>
        <v>0</v>
      </c>
      <c r="S77" s="208" t="n">
        <f aca="false">IF(ISERROR(Q77*I77*J77),0,Q77*I77*J77)</f>
        <v>0</v>
      </c>
      <c r="T77" s="223" t="n">
        <f aca="false">IF(ISERROR(Q77*J77),0,Q77*J77)</f>
        <v>0</v>
      </c>
      <c r="U77" s="209" t="str">
        <f aca="false">IF(AND(A77="",F77=0),"",IF(F77=0,"Il manque le(s) % de rec. !",""))</f>
        <v/>
      </c>
      <c r="V77" s="210"/>
      <c r="X77" s="211" t="str">
        <f aca="false">IF(A77="new.cod","NEW.COD",IF(AND((Y77=""),ISTEXT(A77)),A77,IF(Y77="","",INDEX('[1]liste reference'!$A$7:$A$906,Y77))))</f>
        <v/>
      </c>
      <c r="Y77" s="9" t="str">
        <f aca="false">IF(ISERROR(MATCH(A77,'[1]liste reference'!$A$7:$A$906,0)),IF(ISERROR(MATCH(A77,'[1]liste reference'!$B$7:$B$906,0)),"",(MATCH(A77,'[1]liste reference'!$B$7:$B$906,0))),(MATCH(A77,'[1]liste reference'!$A$7:$A$906,0)))</f>
        <v/>
      </c>
      <c r="Z77" s="212"/>
      <c r="AA77" s="213"/>
      <c r="BB77" s="9" t="str">
        <f aca="false">IF(A77="","",1)</f>
        <v/>
      </c>
    </row>
    <row r="78" customFormat="false" ht="12.75" hidden="false" customHeight="false" outlineLevel="0" collapsed="false">
      <c r="A78" s="214"/>
      <c r="B78" s="215"/>
      <c r="C78" s="216"/>
      <c r="D78" s="217" t="str">
        <f aca="false">IF(ISERROR(VLOOKUP($A78,'[1]liste reference'!$A$7:$D$906,2,0)),IF(ISERROR(VLOOKUP($A78,'[1]liste reference'!$B$7:$D$906,1,0)),"",VLOOKUP($A78,'[1]liste reference'!$B$7:$D$906,1,0)),VLOOKUP($A78,'[1]liste reference'!$A$7:$D$906,2,0))</f>
        <v/>
      </c>
      <c r="E78" s="217" t="n">
        <f aca="false">IF(D78="",0,VLOOKUP(D78,D$22:D63,1,0))</f>
        <v>0</v>
      </c>
      <c r="F78" s="226" t="n">
        <f aca="false">($B78*$B$7+$C78*$C$7)/100</f>
        <v>0</v>
      </c>
      <c r="G78" s="219" t="str">
        <f aca="false">IF(A78="","",IF(ISERROR(VLOOKUP($A78,'[1]liste reference'!$A$7:$P$906,13,0)),IF(ISERROR(VLOOKUP($A78,'[1]liste reference'!$B$7:$P$906,12,0)),"    -",VLOOKUP($A78,'[1]liste reference'!$B$7:$P$906,12,0)),VLOOKUP($A78,'[1]liste reference'!$A$7:$P$906,13,0)))</f>
        <v/>
      </c>
      <c r="H78" s="201" t="str">
        <f aca="false">IF(A78="","x",IF(ISERROR(VLOOKUP($A78,'[1]liste reference'!$A$7:$P$906,14,0)),IF(ISERROR(VLOOKUP($A78,'[1]liste reference'!$B$7:$P$906,13,0)),"x",VLOOKUP($A78,'[1]liste reference'!$B$7:$P$906,13,0)),VLOOKUP($A78,'[1]liste reference'!$A$7:$P$906,14,0)))</f>
        <v>x</v>
      </c>
      <c r="I78" s="220" t="str">
        <f aca="false">IF(ISNUMBER(H78),IF(ISERROR(VLOOKUP($A78,'[1]liste reference'!$A$7:$P$906,3,0)),IF(ISERROR(VLOOKUP($A78,'[1]liste reference'!$B$7:$P$906,2,0)),"",VLOOKUP($A78,'[1]liste reference'!$B$7:$P$906,2,0)),VLOOKUP($A78,'[1]liste reference'!$A$7:$P$906,3,0)),"")</f>
        <v/>
      </c>
      <c r="J78" s="203" t="str">
        <f aca="false">IF(ISNUMBER(H78),IF(ISERROR(VLOOKUP($A78,'[1]liste reference'!$A$7:$P$906,4,0)),IF(ISERROR(VLOOKUP($A78,'[1]liste reference'!$B$7:$P$906,3,0)),"",VLOOKUP($A78,'[1]liste reference'!$B$7:$P$906,3,0)),VLOOKUP($A78,'[1]liste reference'!$A$7:$P$906,4,0)),"")</f>
        <v/>
      </c>
      <c r="K78" s="221" t="str">
        <f aca="false">IF(A78="NEW.COD",AA78,IF(ISTEXT($E78),"DEJA SAISI !",IF(A78="","",IF(ISERROR(VLOOKUP($A78,'[1]liste reference'!$A$7:$D$906,2,0)),IF(ISERROR(VLOOKUP($A78,'[1]liste reference'!$B$7:$D$906,1,0)),"code non répertorié ou synonyme",VLOOKUP($A78,'[1]liste reference'!$B$7:$D$906,1,0)),VLOOKUP(A78,'[1]liste reference'!$A$7:$D$906,2,0)))))</f>
        <v/>
      </c>
      <c r="L78" s="222"/>
      <c r="M78" s="222"/>
      <c r="N78" s="222"/>
      <c r="O78" s="206"/>
      <c r="P78" s="207" t="str">
        <f aca="false">IF(ISTEXT(H78),"",(B78*$B$7/100)+(C78*$C$7/100))</f>
        <v/>
      </c>
      <c r="Q78" s="208" t="str">
        <f aca="false">IF(OR(ISTEXT(H78),P78=0),"",IF(P78&lt;0.1,1,IF(P78&lt;1,2,IF(P78&lt;10,3,IF(P78&lt;50,4,IF(P78&gt;=50,5,""))))))</f>
        <v/>
      </c>
      <c r="R78" s="208" t="n">
        <f aca="false">IF(ISERROR(Q78*I78),0,Q78*I78)</f>
        <v>0</v>
      </c>
      <c r="S78" s="208" t="n">
        <f aca="false">IF(ISERROR(Q78*I78*J78),0,Q78*I78*J78)</f>
        <v>0</v>
      </c>
      <c r="T78" s="223" t="n">
        <f aca="false">IF(ISERROR(Q78*J78),0,Q78*J78)</f>
        <v>0</v>
      </c>
      <c r="U78" s="209" t="str">
        <f aca="false">IF(AND(A78="",F78=0),"",IF(F78=0,"Il manque le(s) % de rec. !",""))</f>
        <v/>
      </c>
      <c r="V78" s="210"/>
      <c r="X78" s="211" t="str">
        <f aca="false">IF(A78="new.cod","NEW.COD",IF(AND((Y78=""),ISTEXT(A78)),A78,IF(Y78="","",INDEX('[1]liste reference'!$A$7:$A$906,Y78))))</f>
        <v/>
      </c>
      <c r="Y78" s="9" t="str">
        <f aca="false">IF(ISERROR(MATCH(A78,'[1]liste reference'!$A$7:$A$906,0)),IF(ISERROR(MATCH(A78,'[1]liste reference'!$B$7:$B$906,0)),"",(MATCH(A78,'[1]liste reference'!$B$7:$B$906,0))),(MATCH(A78,'[1]liste reference'!$A$7:$A$906,0)))</f>
        <v/>
      </c>
      <c r="Z78" s="212"/>
      <c r="AA78" s="213"/>
      <c r="BB78" s="9" t="str">
        <f aca="false">IF(A78="","",1)</f>
        <v/>
      </c>
    </row>
    <row r="79" customFormat="false" ht="12.75" hidden="false" customHeight="false" outlineLevel="0" collapsed="false">
      <c r="A79" s="214"/>
      <c r="B79" s="215"/>
      <c r="C79" s="216"/>
      <c r="D79" s="217" t="str">
        <f aca="false">IF(ISERROR(VLOOKUP($A79,'[1]liste reference'!$A$7:$D$906,2,0)),IF(ISERROR(VLOOKUP($A79,'[1]liste reference'!$B$7:$D$906,1,0)),"",VLOOKUP($A79,'[1]liste reference'!$B$7:$D$906,1,0)),VLOOKUP($A79,'[1]liste reference'!$A$7:$D$906,2,0))</f>
        <v/>
      </c>
      <c r="E79" s="217" t="n">
        <f aca="false">IF(D79="",0,VLOOKUP(D79,D$22:D63,1,0))</f>
        <v>0</v>
      </c>
      <c r="F79" s="226" t="n">
        <f aca="false">($B79*$B$7+$C79*$C$7)/100</f>
        <v>0</v>
      </c>
      <c r="G79" s="219" t="str">
        <f aca="false">IF(A79="","",IF(ISERROR(VLOOKUP($A79,'[1]liste reference'!$A$7:$P$906,13,0)),IF(ISERROR(VLOOKUP($A79,'[1]liste reference'!$B$7:$P$906,12,0)),"    -",VLOOKUP($A79,'[1]liste reference'!$B$7:$P$906,12,0)),VLOOKUP($A79,'[1]liste reference'!$A$7:$P$906,13,0)))</f>
        <v/>
      </c>
      <c r="H79" s="201" t="str">
        <f aca="false">IF(A79="","x",IF(ISERROR(VLOOKUP($A79,'[1]liste reference'!$A$7:$P$906,14,0)),IF(ISERROR(VLOOKUP($A79,'[1]liste reference'!$B$7:$P$906,13,0)),"x",VLOOKUP($A79,'[1]liste reference'!$B$7:$P$906,13,0)),VLOOKUP($A79,'[1]liste reference'!$A$7:$P$906,14,0)))</f>
        <v>x</v>
      </c>
      <c r="I79" s="220" t="str">
        <f aca="false">IF(ISNUMBER(H79),IF(ISERROR(VLOOKUP($A79,'[1]liste reference'!$A$7:$P$906,3,0)),IF(ISERROR(VLOOKUP($A79,'[1]liste reference'!$B$7:$P$906,2,0)),"",VLOOKUP($A79,'[1]liste reference'!$B$7:$P$906,2,0)),VLOOKUP($A79,'[1]liste reference'!$A$7:$P$906,3,0)),"")</f>
        <v/>
      </c>
      <c r="J79" s="203" t="str">
        <f aca="false">IF(ISNUMBER(H79),IF(ISERROR(VLOOKUP($A79,'[1]liste reference'!$A$7:$P$906,4,0)),IF(ISERROR(VLOOKUP($A79,'[1]liste reference'!$B$7:$P$906,3,0)),"",VLOOKUP($A79,'[1]liste reference'!$B$7:$P$906,3,0)),VLOOKUP($A79,'[1]liste reference'!$A$7:$P$906,4,0)),"")</f>
        <v/>
      </c>
      <c r="K79" s="221" t="str">
        <f aca="false">IF(A79="NEW.COD",AA79,IF(ISTEXT($E79),"DEJA SAISI !",IF(A79="","",IF(ISERROR(VLOOKUP($A79,'[1]liste reference'!$A$7:$D$906,2,0)),IF(ISERROR(VLOOKUP($A79,'[1]liste reference'!$B$7:$D$906,1,0)),"code non répertorié ou synonyme",VLOOKUP($A79,'[1]liste reference'!$B$7:$D$906,1,0)),VLOOKUP(A79,'[1]liste reference'!$A$7:$D$906,2,0)))))</f>
        <v/>
      </c>
      <c r="L79" s="222"/>
      <c r="M79" s="222"/>
      <c r="N79" s="222"/>
      <c r="O79" s="206"/>
      <c r="P79" s="207" t="str">
        <f aca="false">IF(ISTEXT(H79),"",(B79*$B$7/100)+(C79*$C$7/100))</f>
        <v/>
      </c>
      <c r="Q79" s="208" t="str">
        <f aca="false">IF(OR(ISTEXT(H79),P79=0),"",IF(P79&lt;0.1,1,IF(P79&lt;1,2,IF(P79&lt;10,3,IF(P79&lt;50,4,IF(P79&gt;=50,5,""))))))</f>
        <v/>
      </c>
      <c r="R79" s="208" t="n">
        <f aca="false">IF(ISERROR(Q79*I79),0,Q79*I79)</f>
        <v>0</v>
      </c>
      <c r="S79" s="208" t="n">
        <f aca="false">IF(ISERROR(Q79*I79*J79),0,Q79*I79*J79)</f>
        <v>0</v>
      </c>
      <c r="T79" s="223" t="n">
        <f aca="false">IF(ISERROR(Q79*J79),0,Q79*J79)</f>
        <v>0</v>
      </c>
      <c r="U79" s="209" t="str">
        <f aca="false">IF(AND(A79="",F79=0),"",IF(F79=0,"Il manque le(s) % de rec. !",""))</f>
        <v/>
      </c>
      <c r="V79" s="210"/>
      <c r="X79" s="211" t="str">
        <f aca="false">IF(A79="new.cod","NEW.COD",IF(AND((Y79=""),ISTEXT(A79)),A79,IF(Y79="","",INDEX('[1]liste reference'!$A$7:$A$906,Y79))))</f>
        <v/>
      </c>
      <c r="Y79" s="9" t="str">
        <f aca="false">IF(ISERROR(MATCH(A79,'[1]liste reference'!$A$7:$A$906,0)),IF(ISERROR(MATCH(A79,'[1]liste reference'!$B$7:$B$906,0)),"",(MATCH(A79,'[1]liste reference'!$B$7:$B$906,0))),(MATCH(A79,'[1]liste reference'!$A$7:$A$906,0)))</f>
        <v/>
      </c>
      <c r="Z79" s="212"/>
      <c r="AA79" s="213"/>
      <c r="BB79" s="9" t="str">
        <f aca="false">IF(A79="","",1)</f>
        <v/>
      </c>
    </row>
    <row r="80" customFormat="false" ht="12.75" hidden="false" customHeight="false" outlineLevel="0" collapsed="false">
      <c r="A80" s="214"/>
      <c r="B80" s="215"/>
      <c r="C80" s="216"/>
      <c r="D80" s="217" t="str">
        <f aca="false">IF(ISERROR(VLOOKUP($A80,'[1]liste reference'!$A$7:$D$906,2,0)),IF(ISERROR(VLOOKUP($A80,'[1]liste reference'!$B$7:$D$906,1,0)),"",VLOOKUP($A80,'[1]liste reference'!$B$7:$D$906,1,0)),VLOOKUP($A80,'[1]liste reference'!$A$7:$D$906,2,0))</f>
        <v/>
      </c>
      <c r="E80" s="217" t="n">
        <f aca="false">IF(D80="",0,VLOOKUP(D80,D$22:D79,1,0))</f>
        <v>0</v>
      </c>
      <c r="F80" s="226" t="n">
        <f aca="false">($B80*$B$7+$C80*$C$7)/100</f>
        <v>0</v>
      </c>
      <c r="G80" s="219" t="str">
        <f aca="false">IF(A80="","",IF(ISERROR(VLOOKUP($A80,'[1]liste reference'!$A$7:$P$906,13,0)),IF(ISERROR(VLOOKUP($A80,'[1]liste reference'!$B$7:$P$906,12,0)),"    -",VLOOKUP($A80,'[1]liste reference'!$B$7:$P$906,12,0)),VLOOKUP($A80,'[1]liste reference'!$A$7:$P$906,13,0)))</f>
        <v/>
      </c>
      <c r="H80" s="201" t="str">
        <f aca="false">IF(A80="","x",IF(ISERROR(VLOOKUP($A80,'[1]liste reference'!$A$7:$P$906,14,0)),IF(ISERROR(VLOOKUP($A80,'[1]liste reference'!$B$7:$P$906,13,0)),"x",VLOOKUP($A80,'[1]liste reference'!$B$7:$P$906,13,0)),VLOOKUP($A80,'[1]liste reference'!$A$7:$P$906,14,0)))</f>
        <v>x</v>
      </c>
      <c r="I80" s="220" t="str">
        <f aca="false">IF(ISNUMBER(H80),IF(ISERROR(VLOOKUP($A80,'[1]liste reference'!$A$7:$P$906,3,0)),IF(ISERROR(VLOOKUP($A80,'[1]liste reference'!$B$7:$P$906,2,0)),"",VLOOKUP($A80,'[1]liste reference'!$B$7:$P$906,2,0)),VLOOKUP($A80,'[1]liste reference'!$A$7:$P$906,3,0)),"")</f>
        <v/>
      </c>
      <c r="J80" s="203" t="str">
        <f aca="false">IF(ISNUMBER(H80),IF(ISERROR(VLOOKUP($A80,'[1]liste reference'!$A$7:$P$906,4,0)),IF(ISERROR(VLOOKUP($A80,'[1]liste reference'!$B$7:$P$906,3,0)),"",VLOOKUP($A80,'[1]liste reference'!$B$7:$P$906,3,0)),VLOOKUP($A80,'[1]liste reference'!$A$7:$P$906,4,0)),"")</f>
        <v/>
      </c>
      <c r="K80" s="221" t="str">
        <f aca="false">IF(A80="NEW.COD",AA80,IF(ISTEXT($E80),"DEJA SAISI !",IF(A80="","",IF(ISERROR(VLOOKUP($A80,'[1]liste reference'!$A$7:$D$906,2,0)),IF(ISERROR(VLOOKUP($A80,'[1]liste reference'!$B$7:$D$906,1,0)),"code non répertorié ou synonyme",VLOOKUP($A80,'[1]liste reference'!$B$7:$D$906,1,0)),VLOOKUP(A80,'[1]liste reference'!$A$7:$D$906,2,0)))))</f>
        <v/>
      </c>
      <c r="L80" s="222"/>
      <c r="M80" s="222"/>
      <c r="N80" s="222"/>
      <c r="O80" s="206"/>
      <c r="P80" s="207" t="str">
        <f aca="false">IF(ISTEXT(H80),"",(B80*$B$7/100)+(C80*$C$7/100))</f>
        <v/>
      </c>
      <c r="Q80" s="208" t="str">
        <f aca="false">IF(OR(ISTEXT(H80),P80=0),"",IF(P80&lt;0.1,1,IF(P80&lt;1,2,IF(P80&lt;10,3,IF(P80&lt;50,4,IF(P80&gt;=50,5,""))))))</f>
        <v/>
      </c>
      <c r="R80" s="208" t="n">
        <f aca="false">IF(ISERROR(Q80*I80),0,Q80*I80)</f>
        <v>0</v>
      </c>
      <c r="S80" s="208" t="n">
        <f aca="false">IF(ISERROR(Q80*I80*J80),0,Q80*I80*J80)</f>
        <v>0</v>
      </c>
      <c r="T80" s="223" t="n">
        <f aca="false">IF(ISERROR(Q80*J80),0,Q80*J80)</f>
        <v>0</v>
      </c>
      <c r="U80" s="209" t="str">
        <f aca="false">IF(AND(A80="",F80=0),"",IF(F80=0,"Il manque le(s) % de rec. !",""))</f>
        <v/>
      </c>
      <c r="V80" s="210"/>
      <c r="X80" s="211" t="str">
        <f aca="false">IF(A80="new.cod","NEW.COD",IF(AND((Y80=""),ISTEXT(A80)),A80,IF(Y80="","",INDEX('[1]liste reference'!$A$7:$A$906,Y80))))</f>
        <v/>
      </c>
      <c r="Y80" s="9" t="str">
        <f aca="false">IF(ISERROR(MATCH(A80,'[1]liste reference'!$A$7:$A$906,0)),IF(ISERROR(MATCH(A80,'[1]liste reference'!$B$7:$B$906,0)),"",(MATCH(A80,'[1]liste reference'!$B$7:$B$906,0))),(MATCH(A80,'[1]liste reference'!$A$7:$A$906,0)))</f>
        <v/>
      </c>
      <c r="Z80" s="212"/>
      <c r="AA80" s="213"/>
      <c r="BB80" s="9" t="str">
        <f aca="false">IF(A80="","",1)</f>
        <v/>
      </c>
    </row>
    <row r="81" customFormat="false" ht="12.75" hidden="false" customHeight="false" outlineLevel="0" collapsed="false">
      <c r="A81" s="214"/>
      <c r="B81" s="215"/>
      <c r="C81" s="216"/>
      <c r="D81" s="217" t="str">
        <f aca="false">IF(ISERROR(VLOOKUP($A81,'[1]liste reference'!$A$7:$D$906,2,0)),IF(ISERROR(VLOOKUP($A81,'[1]liste reference'!$B$7:$D$906,1,0)),"",VLOOKUP($A81,'[1]liste reference'!$B$7:$D$906,1,0)),VLOOKUP($A81,'[1]liste reference'!$A$7:$D$906,2,0))</f>
        <v/>
      </c>
      <c r="E81" s="217" t="n">
        <f aca="false">IF(D81="",0,VLOOKUP(D81,D$21:D80,1,0))</f>
        <v>0</v>
      </c>
      <c r="F81" s="226" t="n">
        <f aca="false">($B81*$B$7+$C81*$C$7)/100</f>
        <v>0</v>
      </c>
      <c r="G81" s="219" t="str">
        <f aca="false">IF(A81="","",IF(ISERROR(VLOOKUP($A81,'[1]liste reference'!$A$7:$P$906,13,0)),IF(ISERROR(VLOOKUP($A81,'[1]liste reference'!$B$7:$P$906,12,0)),"    -",VLOOKUP($A81,'[1]liste reference'!$B$7:$P$906,12,0)),VLOOKUP($A81,'[1]liste reference'!$A$7:$P$906,13,0)))</f>
        <v/>
      </c>
      <c r="H81" s="201" t="str">
        <f aca="false">IF(A81="","x",IF(ISERROR(VLOOKUP($A81,'[1]liste reference'!$A$7:$P$906,14,0)),IF(ISERROR(VLOOKUP($A81,'[1]liste reference'!$B$7:$P$906,13,0)),"x",VLOOKUP($A81,'[1]liste reference'!$B$7:$P$906,13,0)),VLOOKUP($A81,'[1]liste reference'!$A$7:$P$906,14,0)))</f>
        <v>x</v>
      </c>
      <c r="I81" s="220" t="str">
        <f aca="false">IF(ISNUMBER(H81),IF(ISERROR(VLOOKUP($A81,'[1]liste reference'!$A$7:$P$906,3,0)),IF(ISERROR(VLOOKUP($A81,'[1]liste reference'!$B$7:$P$906,2,0)),"",VLOOKUP($A81,'[1]liste reference'!$B$7:$P$906,2,0)),VLOOKUP($A81,'[1]liste reference'!$A$7:$P$906,3,0)),"")</f>
        <v/>
      </c>
      <c r="J81" s="203" t="str">
        <f aca="false">IF(ISNUMBER(H81),IF(ISERROR(VLOOKUP($A81,'[1]liste reference'!$A$7:$P$906,4,0)),IF(ISERROR(VLOOKUP($A81,'[1]liste reference'!$B$7:$P$906,3,0)),"",VLOOKUP($A81,'[1]liste reference'!$B$7:$P$906,3,0)),VLOOKUP($A81,'[1]liste reference'!$A$7:$P$906,4,0)),"")</f>
        <v/>
      </c>
      <c r="K81" s="221" t="str">
        <f aca="false">IF(A81="NEW.COD",AA81,IF(ISTEXT($E81),"DEJA SAISI !",IF(A81="","",IF(ISERROR(VLOOKUP($A81,'[1]liste reference'!$A$7:$D$906,2,0)),IF(ISERROR(VLOOKUP($A81,'[1]liste reference'!$B$7:$D$906,1,0)),"code non répertorié ou synonyme",VLOOKUP($A81,'[1]liste reference'!$B$7:$D$906,1,0)),VLOOKUP(A81,'[1]liste reference'!$A$7:$D$906,2,0)))))</f>
        <v/>
      </c>
      <c r="L81" s="224"/>
      <c r="M81" s="224"/>
      <c r="N81" s="224"/>
      <c r="O81" s="206"/>
      <c r="P81" s="207" t="str">
        <f aca="false">IF(ISTEXT(H81),"",(B81*$B$7/100)+(C81*$C$7/100))</f>
        <v/>
      </c>
      <c r="Q81" s="208" t="str">
        <f aca="false">IF(OR(ISTEXT(H81),P81=0),"",IF(P81&lt;0.1,1,IF(P81&lt;1,2,IF(P81&lt;10,3,IF(P81&lt;50,4,IF(P81&gt;=50,5,""))))))</f>
        <v/>
      </c>
      <c r="R81" s="208" t="n">
        <f aca="false">IF(ISERROR(Q81*I81),0,Q81*I81)</f>
        <v>0</v>
      </c>
      <c r="S81" s="208" t="n">
        <f aca="false">IF(ISERROR(Q81*I81*J81),0,Q81*I81*J81)</f>
        <v>0</v>
      </c>
      <c r="T81" s="223" t="n">
        <f aca="false">IF(ISERROR(Q81*J81),0,Q81*J81)</f>
        <v>0</v>
      </c>
      <c r="U81" s="209" t="str">
        <f aca="false">IF(AND(A81="",F81=0),"",IF(F81=0,"Il manque le(s) % de rec. !",""))</f>
        <v/>
      </c>
      <c r="V81" s="210"/>
      <c r="W81" s="229"/>
      <c r="X81" s="211" t="str">
        <f aca="false">IF(A81="new.cod","NEW.COD",IF(AND((Y81=""),ISTEXT(A81)),A81,IF(Y81="","",INDEX('[1]liste reference'!$A$7:$A$906,Y81))))</f>
        <v/>
      </c>
      <c r="Y81" s="9" t="str">
        <f aca="false">IF(ISERROR(MATCH(A81,'[1]liste reference'!$A$7:$A$906,0)),IF(ISERROR(MATCH(A81,'[1]liste reference'!$B$7:$B$906,0)),"",(MATCH(A81,'[1]liste reference'!$B$7:$B$906,0))),(MATCH(A81,'[1]liste reference'!$A$7:$A$906,0)))</f>
        <v/>
      </c>
      <c r="Z81" s="212"/>
      <c r="AA81" s="213"/>
      <c r="BB81" s="9" t="str">
        <f aca="false">IF(A81="","",1)</f>
        <v/>
      </c>
    </row>
    <row r="82" customFormat="false" ht="12.75" hidden="false" customHeight="false" outlineLevel="0" collapsed="false">
      <c r="A82" s="230"/>
      <c r="B82" s="231"/>
      <c r="C82" s="232"/>
      <c r="D82" s="233" t="str">
        <f aca="false">IF(ISERROR(VLOOKUP($A82,'[1]liste reference'!$A$7:$D$906,2,0)),IF(ISERROR(VLOOKUP($A82,'[1]liste reference'!$B$7:$D$906,1,0)),"",VLOOKUP($A82,'[1]liste reference'!$B$7:$D$906,1,0)),VLOOKUP($A82,'[1]liste reference'!$A$7:$D$906,2,0))</f>
        <v/>
      </c>
      <c r="E82" s="233" t="n">
        <f aca="false">IF(D82="",0,VLOOKUP(D82,D$20:D80,1,0))</f>
        <v>0</v>
      </c>
      <c r="F82" s="234" t="n">
        <f aca="false">($B82*$B$7+$C82*$C$7)/100</f>
        <v>0</v>
      </c>
      <c r="G82" s="235" t="str">
        <f aca="false">IF(A82="","",IF(ISERROR(VLOOKUP($A82,'[1]liste reference'!$A$7:$P$906,13,0)),IF(ISERROR(VLOOKUP($A82,'[1]liste reference'!$B$7:$P$906,12,0)),"    -",VLOOKUP($A82,'[1]liste reference'!$B$7:$P$906,12,0)),VLOOKUP($A82,'[1]liste reference'!$A$7:$P$906,13,0)))</f>
        <v/>
      </c>
      <c r="H82" s="201" t="str">
        <f aca="false">IF(A82="","x",IF(ISERROR(VLOOKUP($A82,'[1]liste reference'!$A$7:$P$906,14,0)),IF(ISERROR(VLOOKUP($A82,'[1]liste reference'!$B$7:$P$906,13,0)),"x",VLOOKUP($A82,'[1]liste reference'!$B$7:$P$906,13,0)),VLOOKUP($A82,'[1]liste reference'!$A$7:$P$906,14,0)))</f>
        <v>x</v>
      </c>
      <c r="I82" s="236" t="str">
        <f aca="false">IF(ISNUMBER(H82),IF(ISERROR(VLOOKUP($A82,'[1]liste reference'!$A$7:$P$906,3,0)),IF(ISERROR(VLOOKUP($A82,'[1]liste reference'!$B$7:$P$906,2,0)),"",VLOOKUP($A82,'[1]liste reference'!$B$7:$P$906,2,0)),VLOOKUP($A82,'[1]liste reference'!$A$7:$P$906,3,0)),"")</f>
        <v/>
      </c>
      <c r="J82" s="236" t="str">
        <f aca="false">IF(ISNUMBER(H82),IF(ISERROR(VLOOKUP($A82,'[1]liste reference'!$A$7:$P$906,4,0)),IF(ISERROR(VLOOKUP($A82,'[1]liste reference'!$B$7:$P$906,3,0)),"",VLOOKUP($A82,'[1]liste reference'!$B$7:$P$906,3,0)),VLOOKUP($A82,'[1]liste reference'!$A$7:$P$906,4,0)),"")</f>
        <v/>
      </c>
      <c r="K82" s="237" t="str">
        <f aca="false">IF(A82="NEW.COD",AA82,IF(ISTEXT($E82),"DEJA SAISI !",IF(A82="","",IF(ISERROR(VLOOKUP($A82,'[1]liste reference'!$A$7:$D$906,2,0)),IF(ISERROR(VLOOKUP($A82,'[1]liste reference'!$B$7:$D$906,1,0)),"code non répertorié ou synonyme",VLOOKUP($A82,'[1]liste reference'!$B$7:$D$906,1,0)),VLOOKUP(A82,'[1]liste reference'!$A$7:$D$906,2,0)))))</f>
        <v/>
      </c>
      <c r="L82" s="238"/>
      <c r="M82" s="238"/>
      <c r="N82" s="238"/>
      <c r="O82" s="239"/>
      <c r="P82" s="207" t="str">
        <f aca="false">IF(ISTEXT(H82),"",(B82*$B$7/100)+(C82*$C$7/100))</f>
        <v/>
      </c>
      <c r="Q82" s="208" t="str">
        <f aca="false">IF(OR(ISTEXT(H82),P82=0),"",IF(P82&lt;0.1,1,IF(P82&lt;1,2,IF(P82&lt;10,3,IF(P82&lt;50,4,IF(P82&gt;=50,5,""))))))</f>
        <v/>
      </c>
      <c r="R82" s="208" t="n">
        <f aca="false">IF(ISERROR(Q82*I82),0,Q82*I82)</f>
        <v>0</v>
      </c>
      <c r="S82" s="208" t="n">
        <f aca="false">IF(ISERROR(Q82*I82*J82),0,Q82*I82*J82)</f>
        <v>0</v>
      </c>
      <c r="T82" s="223" t="n">
        <f aca="false">IF(ISERROR(Q82*J82),0,Q82*J82)</f>
        <v>0</v>
      </c>
      <c r="U82" s="209" t="str">
        <f aca="false">IF(AND(A82="",F82=0),"",IF(F82=0,"Il manque le(s) % de rec. !",""))</f>
        <v/>
      </c>
      <c r="V82" s="240"/>
      <c r="W82" s="241"/>
      <c r="X82" s="211" t="str">
        <f aca="false">IF(A82="new.cod","NEW.COD",IF(AND((Y82=""),ISTEXT(A82)),A82,IF(Y82="","",INDEX('[1]liste reference'!$A$7:$A$906,Y82))))</f>
        <v/>
      </c>
      <c r="Y82" s="9" t="str">
        <f aca="false">IF(ISERROR(MATCH(A82,'[1]liste reference'!$A$7:$A$906,0)),IF(ISERROR(MATCH(A82,'[1]liste reference'!$B$7:$B$906,0)),"",(MATCH(A82,'[1]liste reference'!$B$7:$B$906,0))),(MATCH(A82,'[1]liste reference'!$A$7:$A$906,0)))</f>
        <v/>
      </c>
      <c r="Z82" s="212"/>
      <c r="AA82" s="213"/>
      <c r="BB82" s="9" t="str">
        <f aca="false">IF(A82="","",1)</f>
        <v/>
      </c>
    </row>
    <row r="83" customFormat="false" ht="15" hidden="true" customHeight="false" outlineLevel="0" collapsed="false">
      <c r="A83" s="242" t="s">
        <v>98</v>
      </c>
      <c r="B83" s="153"/>
      <c r="C83" s="153"/>
      <c r="D83" s="153"/>
      <c r="E83" s="153"/>
      <c r="F83" s="153"/>
      <c r="G83" s="153"/>
      <c r="H83" s="153"/>
      <c r="I83" s="153"/>
      <c r="J83" s="153"/>
      <c r="K83" s="153"/>
      <c r="L83" s="153"/>
      <c r="M83" s="208"/>
      <c r="N83" s="208"/>
      <c r="O83" s="243"/>
      <c r="P83" s="243"/>
      <c r="Q83" s="243"/>
      <c r="R83" s="243"/>
      <c r="S83" s="9"/>
      <c r="T83" s="9"/>
      <c r="U83" s="243"/>
      <c r="V83" s="243"/>
      <c r="W83" s="243"/>
      <c r="X83" s="244"/>
      <c r="Y83" s="244"/>
      <c r="Z83" s="244"/>
      <c r="AA83" s="245"/>
      <c r="AB83" s="245"/>
      <c r="AC83" s="245"/>
    </row>
    <row r="84" customFormat="false" ht="12.75" hidden="true" customHeight="false" outlineLevel="0" collapsed="false">
      <c r="A84" s="246" t="str">
        <f aca="false">A3</f>
        <v>TRUYERE</v>
      </c>
      <c r="B84" s="247" t="str">
        <f aca="false">C3</f>
        <v>RIMEIZE</v>
      </c>
      <c r="C84" s="248" t="n">
        <f aca="false">A4</f>
        <v>40359</v>
      </c>
      <c r="D84" s="249" t="n">
        <f aca="false">IF(ISERROR(SUM($S$23:$S$82)/SUM($T$23:$T$82)),"",SUM($S$23:$S$82)/SUM($T$23:$T$82))</f>
        <v>11.531914893617</v>
      </c>
      <c r="E84" s="250" t="n">
        <f aca="false">N13</f>
        <v>24</v>
      </c>
      <c r="F84" s="247" t="n">
        <f aca="false">N14</f>
        <v>19</v>
      </c>
      <c r="G84" s="247" t="n">
        <f aca="false">N15</f>
        <v>8</v>
      </c>
      <c r="H84" s="247" t="n">
        <f aca="false">N16</f>
        <v>11</v>
      </c>
      <c r="I84" s="247" t="n">
        <f aca="false">N17</f>
        <v>0</v>
      </c>
      <c r="J84" s="251" t="n">
        <f aca="false">N8</f>
        <v>10.7894736842105</v>
      </c>
      <c r="K84" s="249" t="n">
        <f aca="false">N9</f>
        <v>2.57291333723771</v>
      </c>
      <c r="L84" s="250" t="n">
        <f aca="false">N10</f>
        <v>5</v>
      </c>
      <c r="M84" s="250" t="n">
        <f aca="false">N11</f>
        <v>15</v>
      </c>
      <c r="N84" s="249" t="n">
        <f aca="false">O8</f>
        <v>1.57894736842105</v>
      </c>
      <c r="O84" s="249" t="n">
        <f aca="false">O9</f>
        <v>0.507257273501788</v>
      </c>
      <c r="P84" s="250" t="n">
        <f aca="false">O10</f>
        <v>1</v>
      </c>
      <c r="Q84" s="250" t="n">
        <f aca="false">O11</f>
        <v>2</v>
      </c>
      <c r="R84" s="252" t="n">
        <f aca="false">F21</f>
        <v>12.3611</v>
      </c>
      <c r="S84" s="250" t="n">
        <f aca="false">K11</f>
        <v>0</v>
      </c>
      <c r="T84" s="250" t="n">
        <f aca="false">K12</f>
        <v>6</v>
      </c>
      <c r="U84" s="250" t="n">
        <f aca="false">K13</f>
        <v>4</v>
      </c>
      <c r="V84" s="253" t="n">
        <f aca="false">K14</f>
        <v>0</v>
      </c>
      <c r="W84" s="254" t="n">
        <f aca="false">K15</f>
        <v>14</v>
      </c>
      <c r="Y84" s="255"/>
      <c r="Z84" s="255"/>
      <c r="AA84" s="245"/>
      <c r="AB84" s="245"/>
      <c r="AC84" s="245"/>
    </row>
    <row r="85" customFormat="false" ht="12.75" hidden="true" customHeight="false" outlineLevel="0" collapsed="false">
      <c r="P85" s="9"/>
      <c r="Q85" s="9"/>
      <c r="R85" s="9"/>
      <c r="S85" s="9"/>
      <c r="T85" s="9"/>
      <c r="U85" s="9"/>
    </row>
    <row r="86" customFormat="false" ht="12.75" hidden="true" customHeight="false" outlineLevel="0" collapsed="false">
      <c r="P86" s="256" t="s">
        <v>99</v>
      </c>
      <c r="Q86" s="9"/>
      <c r="R86" s="209"/>
      <c r="S86" s="9"/>
      <c r="T86" s="9"/>
      <c r="U86" s="9"/>
    </row>
    <row r="87" customFormat="false" ht="12.75" hidden="true" customHeight="false" outlineLevel="0" collapsed="false">
      <c r="P87" s="9" t="s">
        <v>100</v>
      </c>
      <c r="Q87" s="9"/>
      <c r="R87" s="209" t="n">
        <f aca="false">VLOOKUP(MAX($R$23:$R$82),($R$23:$T$82),1,0)</f>
        <v>45</v>
      </c>
      <c r="S87" s="9"/>
      <c r="T87" s="9"/>
      <c r="U87" s="9"/>
    </row>
    <row r="88" customFormat="false" ht="12.75" hidden="true" customHeight="false" outlineLevel="0" collapsed="false">
      <c r="P88" s="9" t="s">
        <v>101</v>
      </c>
      <c r="Q88" s="9"/>
      <c r="R88" s="209" t="n">
        <f aca="false">VLOOKUP((R87),($R$23:$T$82),2,0)</f>
        <v>90</v>
      </c>
      <c r="S88" s="9"/>
      <c r="T88" s="9"/>
      <c r="U88" s="9"/>
    </row>
    <row r="89" customFormat="false" ht="12.75" hidden="true" customHeight="false" outlineLevel="0" collapsed="false">
      <c r="P89" s="9" t="s">
        <v>102</v>
      </c>
      <c r="Q89" s="9"/>
      <c r="R89" s="209" t="n">
        <f aca="false">VLOOKUP((R87),($R$23:$T$82),3,0)</f>
        <v>6</v>
      </c>
      <c r="S89" s="9"/>
    </row>
    <row r="90" customFormat="false" ht="12.75" hidden="true" customHeight="false" outlineLevel="0" collapsed="false">
      <c r="P90" s="9" t="s">
        <v>103</v>
      </c>
      <c r="Q90" s="9"/>
      <c r="R90" s="257" t="n">
        <f aca="false">IF(ISERROR(SUM($S$23:$S$82)/SUM($T$23:$T$82)),"",(SUM($S$23:$S$82)-R88)/(SUM($T$23:$T$82)-R89))</f>
        <v>11.0243902439024</v>
      </c>
      <c r="S90" s="9"/>
    </row>
    <row r="91" customFormat="false" ht="12.75" hidden="true" customHeight="false" outlineLevel="0" collapsed="false">
      <c r="P91" s="208" t="s">
        <v>104</v>
      </c>
      <c r="Q91" s="208"/>
      <c r="R91" s="208" t="str">
        <f aca="false">INDEX('[1]liste reference'!$A$7:$A$906,$S$91)</f>
        <v>LEA.SPX</v>
      </c>
      <c r="S91" s="9" t="n">
        <f aca="false">IF(ISERROR(MATCH($R$93,'[1]liste reference'!$A$7:$A$906,0)),MATCH($R$93,'[1]liste reference'!$B$7:$B$906,0),(MATCH($R$93,'[1]liste reference'!$A$7:$A$906,0)))</f>
        <v>35</v>
      </c>
      <c r="T91" s="245"/>
    </row>
    <row r="92" customFormat="false" ht="12.75" hidden="true" customHeight="false" outlineLevel="0" collapsed="false">
      <c r="P92" s="9" t="s">
        <v>105</v>
      </c>
      <c r="Q92" s="9"/>
      <c r="R92" s="9" t="n">
        <f aca="false">MATCH(R87,$R$23:$R$82,0)</f>
        <v>2</v>
      </c>
      <c r="S92" s="9"/>
    </row>
    <row r="93" customFormat="false" ht="12.75" hidden="true" customHeight="false" outlineLevel="0" collapsed="false">
      <c r="P93" s="208" t="s">
        <v>106</v>
      </c>
      <c r="Q93" s="9"/>
      <c r="R93" s="208" t="str">
        <f aca="false">INDEX($A$23:$A$82,$R$92)</f>
        <v>LEA.SPX</v>
      </c>
      <c r="S93" s="9"/>
    </row>
    <row r="94" customFormat="false" ht="12.75" hidden="false" customHeight="false" outlineLevel="0" collapsed="false">
      <c r="R94" s="245"/>
    </row>
  </sheetData>
  <sheetProtection sheet="true" password="c39f" objects="true" scenarios="true"/>
  <mergeCells count="11">
    <mergeCell ref="N6:O6"/>
    <mergeCell ref="A8:C8"/>
    <mergeCell ref="I11:J11"/>
    <mergeCell ref="I12:J12"/>
    <mergeCell ref="I13:J13"/>
    <mergeCell ref="I14:J14"/>
    <mergeCell ref="I15:J15"/>
    <mergeCell ref="I17:J17"/>
    <mergeCell ref="I18:J18"/>
    <mergeCell ref="K22:O22"/>
    <mergeCell ref="X83:Y83"/>
  </mergeCells>
  <conditionalFormatting sqref="A23:A82">
    <cfRule type="expression" priority="2" aboveAverage="0" equalAverage="0" bottom="0" percent="0" rank="0" text="" dxfId="0">
      <formula>ISTEXT($E23)</formula>
    </cfRule>
  </conditionalFormatting>
  <conditionalFormatting sqref="H23:J82">
    <cfRule type="cellIs" priority="3" operator="equal" aboveAverage="0" equalAverage="0" bottom="0" percent="0" rank="0" text="" dxfId="1">
      <formula>"x"</formula>
    </cfRule>
  </conditionalFormatting>
  <conditionalFormatting sqref="V23:W23">
    <cfRule type="cellIs" priority="4" operator="equal" aboveAverage="0" equalAverage="0" bottom="0" percent="0" rank="0" text="" dxfId="2">
      <formula>"DEJA SAISI !"</formula>
    </cfRule>
    <cfRule type="cellIs" priority="5" operator="equal" aboveAverage="0" equalAverage="0" bottom="0" percent="0" rank="0" text="" dxfId="3">
      <formula>"non répertorié"</formula>
    </cfRule>
    <cfRule type="expression" priority="6" aboveAverage="0" equalAverage="0" bottom="0" percent="0" rank="0" text="" dxfId="4">
      <formula>AND(ISTEXT($G$23),ISBLANK($I$23))</formula>
    </cfRule>
  </conditionalFormatting>
  <conditionalFormatting sqref="L27:O82 K23:K82 O23:O26">
    <cfRule type="cellIs" priority="7" operator="equal" aboveAverage="0" equalAverage="0" bottom="0" percent="0" rank="0" text="" dxfId="5">
      <formula>"DEJA SAISI !"</formula>
    </cfRule>
    <cfRule type="cellIs" priority="8" operator="equal" aboveAverage="0" equalAverage="0" bottom="0" percent="0" rank="0" text="" dxfId="6">
      <formula>"code non répertorié ou synonyme"</formula>
    </cfRule>
    <cfRule type="expression" priority="9" aboveAverage="0" equalAverage="0" bottom="0" percent="0" rank="0" text="" dxfId="7">
      <formula>AND($I27="",$J27="")</formula>
    </cfRule>
  </conditionalFormatting>
  <conditionalFormatting sqref="A2">
    <cfRule type="cellIs" priority="10" operator="between" aboveAverage="0" equalAverage="0" bottom="0" percent="0" rank="0" text="" dxfId="8">
      <formula>"(organisme)"</formula>
      <formula>"(organisme)"</formula>
    </cfRule>
    <cfRule type="cellIs" priority="11" operator="notBetween" aboveAverage="0" equalAverage="0" bottom="0" percent="0" rank="0" text="" dxfId="9">
      <formula>"(organisme)"</formula>
      <formula>"(organisme)"</formula>
    </cfRule>
  </conditionalFormatting>
  <conditionalFormatting sqref="A3">
    <cfRule type="cellIs" priority="12" operator="between" aboveAverage="0" equalAverage="0" bottom="0" percent="0" rank="0" text="" dxfId="10">
      <formula>"(cours d'eau)"</formula>
      <formula>"(cours d'eau)"</formula>
    </cfRule>
    <cfRule type="cellIs" priority="13" operator="notBetween" aboveAverage="0" equalAverage="0" bottom="0" percent="0" rank="0" text="" dxfId="11">
      <formula>"(cours d'eau)"</formula>
      <formula>"(cours d'eau)"</formula>
    </cfRule>
  </conditionalFormatting>
  <conditionalFormatting sqref="A4">
    <cfRule type="cellIs" priority="14" operator="between" aboveAverage="0" equalAverage="0" bottom="0" percent="0" rank="0" text="" dxfId="12">
      <formula>"(Date)"</formula>
      <formula>"(Date)"</formula>
    </cfRule>
    <cfRule type="cellIs" priority="15" operator="notBetween" aboveAverage="0" equalAverage="0" bottom="0" percent="0" rank="0" text="" dxfId="13">
      <formula>"(Date)"</formula>
      <formula>"(Date)"</formula>
    </cfRule>
  </conditionalFormatting>
  <conditionalFormatting sqref="C2">
    <cfRule type="cellIs" priority="16" operator="between" aboveAverage="0" equalAverage="0" bottom="0" percent="0" rank="0" text="" dxfId="14">
      <formula>"(Opérateurs)"</formula>
      <formula>"(Opérateurs)"</formula>
    </cfRule>
    <cfRule type="cellIs" priority="17" operator="notBetween" aboveAverage="0" equalAverage="0" bottom="0" percent="0" rank="0" text="" dxfId="15">
      <formula>"(Opérateurs)"</formula>
      <formula>"(Opérateurs)"</formula>
    </cfRule>
  </conditionalFormatting>
  <conditionalFormatting sqref="C3">
    <cfRule type="cellIs" priority="18" operator="between" aboveAverage="0" equalAverage="0" bottom="0" percent="0" rank="0" text="" dxfId="16">
      <formula>"(Nom de la station)"</formula>
      <formula>"(Nom de la station)"</formula>
    </cfRule>
    <cfRule type="cellIs" priority="19" operator="notBetween" aboveAverage="0" equalAverage="0" bottom="0" percent="0" rank="0" text="" dxfId="17">
      <formula>"(Nom de la station)"</formula>
      <formula>"(Nom de la station)"</formula>
    </cfRule>
  </conditionalFormatting>
  <conditionalFormatting sqref="K3">
    <cfRule type="cellIs" priority="20" operator="between" aboveAverage="0" equalAverage="0" bottom="0" percent="0" rank="0" text="" dxfId="18">
      <formula>"(Code station)"</formula>
      <formula>"(Code station)"</formula>
    </cfRule>
    <cfRule type="cellIs" priority="21" operator="notBetween" aboveAverage="0" equalAverage="0" bottom="0" percent="0" rank="0" text="" dxfId="19">
      <formula>"(Code station)"</formula>
      <formula>"(Code station)"</formula>
    </cfRule>
  </conditionalFormatting>
  <conditionalFormatting sqref="M3">
    <cfRule type="cellIs" priority="22" operator="between" aboveAverage="0" equalAverage="0" bottom="0" percent="0" rank="0" text="" dxfId="20">
      <formula>"(Dossier, type réseau)"</formula>
      <formula>"(Dossier, type réseau)"</formula>
    </cfRule>
    <cfRule type="cellIs" priority="23" operator="notBetween" aboveAverage="0" equalAverage="0" bottom="0" percent="0" rank="0" text="" dxfId="21">
      <formula>"(Dossier, type réseau)"</formula>
      <formula>"(Dossier, type réseau)"</formula>
    </cfRule>
  </conditionalFormatting>
  <dataValidations count="9">
    <dataValidation allowBlank="true" error="saisir un nombre compris entre 0 et 100 %" errorStyle="stop" operator="between" showDropDown="false" showErrorMessage="true" showInputMessage="false" sqref="B9:E17 B18:D18 B23:C42" type="decimal">
      <formula1>0</formula1>
      <formula2>100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Vous devriez choisir un code dans la liste de référence !" errorStyle="information" errorTitle="ATTENTION :" operator="between" showDropDown="false" showErrorMessage="false" showInputMessage="false" sqref="A23:A82" type="list">
      <formula1>noms_taxons</formula1>
      <formula2>0</formula2>
    </dataValidation>
    <dataValidation allowBlank="true" error="sélectionner un des types de faciès de la liste." errorStyle="warning" errorTitle="ATTENTION :" operator="between" showDropDown="false" showErrorMessage="true" showInputMessage="false" sqref="B6" type="list">
      <formula1>type_courant</formula1>
      <formula2>0</formula2>
    </dataValidation>
    <dataValidation allowBlank="true" error="sélectionner un des types de faciès de la liste." errorStyle="warning" errorTitle="ATTENTION :" operator="between" showDropDown="false" showErrorMessage="true" showInputMessage="false" sqref="C6" type="list">
      <formula1>type_lent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false" error="Veuillez sélectionner Cf. dans la liste déroulante" errorStyle="stop" errorTitle="ATTENTION" operator="between" showDropDown="false" showErrorMessage="true" showInputMessage="false" sqref="Z23:Z82" type="list">
      <formula1>Cf_</formula1>
      <formula2>0</formula2>
    </dataValidation>
  </dataValidations>
  <printOptions headings="false" gridLines="false" gridLinesSet="true" horizontalCentered="true" verticalCentered="false"/>
  <pageMargins left="0.315277777777778"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&amp;D&amp;R&amp;8version GIS Macrophytes juillet 2006</oddFooter>
  </headerFooter>
  <drawing r:id="rId2"/>
  <legacyDrawing r:id="rId3"/>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2013-09-20T15:14:44Z</dcterms:created>
  <dc:creator>Yannick Letet</dc:creator>
  <dc:description/>
  <dc:language>fr-FR</dc:language>
  <cp:lastModifiedBy>Yannick Letet</cp:lastModifiedBy>
  <dcterms:modified xsi:type="dcterms:W3CDTF">2013-09-20T15:15:02Z</dcterms:modified>
  <cp:revision>0</cp:revision>
  <dc:subject/>
  <dc:title/>
</cp:coreProperties>
</file>