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7860" sheetId="6" state="visible" r:id="rId8"/>
    <sheet name="jgjg" sheetId="7" state="hidden" r:id="rId9"/>
    <sheet name="liste codes réf" sheetId="8" state="hidden" r:id="rId10"/>
  </sheets>
  <definedNames>
    <definedName function="false" hidden="false" localSheetId="5" name="_xlnm.Print_Area" vbProcedure="false">'05097860'!$A$1:$Q$82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'05097860'!$A$1:$Q$82</definedName>
    <definedName function="false" hidden="false" localSheetId="5" name="_xlnm__FilterDatabase" vbProcedure="false">'05097860'!$A$1:$C$1415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<sst xmlns="http://schemas.openxmlformats.org/spreadsheetml/2006/main" count="8836" uniqueCount="3497">
  <si>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</si>
  <si>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</si>
  <si>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</si>
  <si>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</si>
  <si>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</si>
  <si>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</si>
  <si>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</si>
  <si>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</si>
  <si>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</si>
  <si>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</si>
  <si>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</si>
  <si>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</si>
  <si>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</si>
  <si>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</si>
  <si>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</si>
  <si>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</si>
  <si>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</si>
  <si>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</si>
  <si>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</si>
  <si>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</si>
  <si>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</si>
  <si>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</si>
  <si>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</si>
  <si>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</si>
  <si>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</si>
  <si>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</si>
  <si>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</si>
  <si>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</si>
  <si>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</si>
  <si>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</si>
  <si>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</si>
  <si>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</si>
  <si>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</si>
  <si>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</si>
  <si>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</si>
  <si>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</si>
  <si>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</si>
  <si>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</si>
  <si>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</si>
  <si>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</si>
  <si>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</si>
  <si>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</si>
  <si>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</si>
  <si>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</si>
  <si>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</si>
  <si>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</si>
  <si>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</si>
  <si>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</si>
  <si>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</si>
  <si>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</si>
  <si>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</si>
  <si>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</si>
  <si>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</si>
  <si>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</si>
  <si>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</si>
  <si>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</si>
  <si>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</si>
  <si>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</si>
  <si>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</si>
  <si>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</si>
  <si>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</si>
  <si>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</si>
  <si>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</si>
  <si>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</si>
  <si>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</si>
  <si>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</si>
  <si>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</si>
  <si>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</si>
  <si>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</si>
  <si>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</si>
  <si>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</si>
  <si>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</si>
  <si>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</si>
  <si>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</si>
  <si>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</si>
  <si>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</si>
  <si>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</si>
  <si>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</si>
  <si>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</si>
  <si>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</si>
  <si>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</si>
  <si>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</si>
  <si>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</si>
  <si>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</si>
  <si>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</si>
  <si>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</si>
  <si>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</si>
  <si>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</si>
  <si>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</si>
  <si>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</si>
  <si>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</si>
  <si>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</si>
  <si>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</si>
  <si>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</si>
  <si>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</si>
  <si>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</si>
  <si>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</si>
  <si>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</si>
  <si>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</si>
  <si>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</si>
  <si>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</si>
  <si>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</si>
  <si>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</si>
  <si>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</si>
  <si>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</si>
  <si>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</si>
  <si>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</si>
  <si>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</si>
  <si>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</si>
  <si>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</si>
  <si>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</si>
  <si>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</si>
  <si>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</si>
  <si>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</si>
  <si>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</si>
  <si>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</si>
  <si>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</si>
  <si>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</si>
  <si>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</si>
  <si>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</si>
  <si>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</si>
  <si>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</si>
  <si>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</si>
  <si>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</si>
  <si>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</si>
  <si>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</si>
  <si>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</si>
  <si>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</si>
  <si>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</si>
  <si>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</si>
  <si>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</si>
  <si>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</si>
  <si>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</si>
  <si>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</si>
  <si>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</si>
  <si>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</si>
  <si>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</si>
  <si>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</si>
  <si>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</si>
  <si>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</si>
  <si>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</si>
  <si>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</si>
  <si>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</si>
  <si>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</si>
  <si>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</si>
  <si>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</si>
  <si>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</si>
  <si>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</si>
  <si>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</si>
  <si>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</si>
  <si>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</si>
  <si>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</si>
  <si>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</si>
  <si>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</si>
  <si>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</si>
  <si>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</si>
  <si>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</si>
  <si>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</si>
  <si>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</si>
  <si>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</si>
  <si>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</si>
  <si>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</si>
  <si>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</si>
  <si>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</si>
  <si>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</si>
  <si>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</si>
  <si>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</si>
  <si>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</si>
  <si>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</si>
  <si>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</si>
  <si>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</si>
  <si>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</si>
  <si>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</si>
  <si>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</si>
  <si>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</si>
  <si>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</si>
  <si>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</si>
  <si>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</si>
  <si>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</si>
  <si>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</si>
  <si>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</si>
  <si>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</si>
  <si>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</si>
  <si>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</si>
  <si>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</si>
  <si>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</si>
  <si>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</si>
  <si>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</si>
  <si>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</si>
  <si>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</si>
  <si>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</si>
  <si>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</si>
  <si>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</si>
  <si>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</si>
  <si>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</si>
  <si>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</si>
  <si>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</si>
  <si>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</si>
  <si>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</si>
  <si>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</si>
  <si>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</si>
  <si>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</si>
  <si>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</si>
  <si>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</si>
  <si>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</si>
  <si>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</si>
  <si>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</si>
  <si>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</si>
  <si>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</si>
  <si>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</si>
  <si>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</si>
  <si>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</si>
  <si>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</si>
  <si>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</si>
  <si>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</si>
  <si>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</si>
  <si>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</si>
  <si>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</si>
  <si>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</si>
  <si>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</si>
  <si>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</si>
  <si>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</si>
  <si>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</si>
  <si>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</si>
  <si>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</si>
  <si>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</si>
  <si>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</si>
  <si>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</si>
  <si>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</si>
  <si>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</si>
  <si>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</si>
  <si>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</si>
  <si>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</si>
  <si>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</si>
  <si>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</si>
  <si>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</si>
  <si>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</si>
  <si>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</si>
  <si>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</si>
  <si>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</si>
  <si>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</si>
  <si>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</si>
  <si>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</si>
  <si>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</si>
  <si>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</si>
  <si>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</si>
  <si>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</si>
  <si>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</si>
  <si>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</si>
  <si>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</si>
  <si>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</si>
  <si>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</si>
  <si>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</si>
  <si>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</si>
  <si>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</si>
  <si>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</si>
  <si>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</si>
  <si>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</si>
  <si>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</si>
  <si>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</si>
  <si>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</si>
  <si>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</si>
  <si>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</si>
  <si>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</si>
  <si>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</si>
  <si>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</si>
  <si>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</si>
  <si>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</si>
  <si>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</si>
  <si>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</si>
  <si>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</si>
  <si>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</si>
  <si>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</si>
  <si>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</si>
  <si>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</si>
  <si>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</si>
  <si>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</si>
  <si>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</si>
  <si>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</si>
  <si>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</si>
  <si>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</si>
  <si>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</si>
  <si>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</si>
  <si>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</si>
  <si>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</si>
  <si>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</si>
  <si>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</si>
  <si>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</si>
  <si>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</si>
  <si>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</si>
  <si>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</si>
  <si>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</si>
  <si>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</si>
  <si>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</si>
  <si>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</si>
  <si>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</si>
  <si>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</si>
  <si>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</si>
  <si>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</si>
  <si>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</si>
  <si>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</si>
  <si>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</si>
  <si>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</si>
  <si>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</si>
  <si>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</si>
  <si>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</si>
  <si>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</si>
  <si>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</si>
  <si>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</si>
  <si>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</si>
  <si>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</si>
  <si>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</si>
  <si>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</si>
  <si>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</si>
  <si>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</si>
  <si>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</si>
  <si>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</si>
  <si>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</si>
  <si>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</si>
  <si>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</si>
  <si>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</si>
  <si>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</si>
  <si>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</si>
  <si>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</si>
  <si>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</si>
  <si>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</si>
  <si>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</si>
  <si>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</si>
  <si>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</si>
  <si>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</si>
  <si>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</si>
  <si>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</si>
  <si>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</si>
  <si>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</si>
  <si>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</si>
  <si>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</si>
  <si>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</si>
  <si>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</si>
  <si>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</si>
  <si>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</si>
  <si>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</si>
  <si>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</si>
  <si>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</si>
  <si>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</si>
  <si>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</si>
  <si>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</si>
  <si>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</si>
  <si>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</si>
  <si>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</si>
  <si>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</si>
  <si>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</si>
  <si>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</si>
  <si>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</si>
  <si>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</si>
  <si>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</si>
  <si>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</si>
  <si>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</si>
  <si>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</si>
  <si>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</si>
  <si>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</si>
  <si>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</si>
  <si>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</si>
  <si>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</si>
  <si>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</si>
  <si>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</si>
  <si>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</si>
  <si>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</si>
  <si>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</si>
  <si>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</si>
  <si>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</si>
  <si>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</si>
  <si>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</si>
  <si>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</si>
  <si>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</si>
  <si>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</si>
  <si>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</si>
  <si>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</si>
  <si>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</si>
  <si>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</si>
  <si>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</si>
  <si>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</si>
  <si>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</si>
  <si>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</si>
  <si>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</si>
  <si>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</si>
  <si>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</si>
  <si>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</si>
  <si>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</si>
  <si>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</si>
  <si>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</si>
  <si>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</si>
  <si>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</si>
  <si>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</si>
  <si>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</si>
  <si>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</si>
  <si>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</si>
  <si>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</si>
  <si>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</si>
  <si>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</si>
  <si>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</si>
  <si>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</si>
  <si>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</si>
  <si>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</si>
  <si>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</si>
  <si>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</si>
  <si>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</si>
  <si>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</si>
  <si>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</si>
  <si>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</si>
  <si>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</si>
  <si>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</si>
  <si>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</si>
  <si>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</si>
  <si>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</si>
  <si>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</si>
  <si>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</si>
  <si>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</si>
  <si>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</si>
  <si>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</si>
  <si>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</si>
  <si>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</si>
  <si>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</si>
  <si>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</si>
  <si>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</si>
  <si>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</si>
  <si>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</si>
  <si>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</si>
  <si>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</si>
  <si>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</si>
  <si>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</si>
  <si>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</si>
  <si>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</si>
  <si>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</si>
  <si>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</si>
  <si>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</si>
  <si>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</si>
  <si>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</si>
  <si>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</si>
  <si>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</si>
  <si>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</si>
  <si>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</si>
  <si>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</si>
  <si>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</si>
  <si>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</si>
  <si>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</si>
  <si>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</si>
  <si>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</si>
  <si>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</si>
  <si>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</si>
  <si>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</si>
  <si>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</si>
  <si>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</si>
  <si>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</si>
  <si>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</si>
  <si>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</si>
  <si>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</si>
  <si>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</si>
  <si>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</si>
  <si>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</si>
  <si>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</si>
  <si>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</si>
  <si>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</si>
  <si>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</si>
  <si>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</si>
  <si>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</si>
  <si>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</si>
  <si>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</si>
  <si>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</si>
  <si>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</si>
  <si>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</si>
  <si>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</si>
  <si>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</si>
  <si>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</si>
  <si>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</si>
  <si>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</si>
  <si>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</si>
  <si>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</si>
  <si>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</si>
  <si>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</si>
  <si>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</si>
  <si>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</si>
  <si>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</si>
  <si>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</si>
  <si>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</si>
  <si>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</si>
  <si>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</si>
  <si>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</si>
  <si>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</si>
  <si>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</si>
  <si>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</si>
  <si>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</si>
  <si>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</si>
  <si>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</si>
  <si>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</si>
  <si>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</si>
  <si>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</si>
  <si>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</si>
  <si>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</si>
  <si>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</si>
  <si>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</si>
  <si>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</si>
  <si>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</si>
  <si>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</si>
  <si>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</si>
  <si>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</si>
  <si>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</si>
  <si>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</si>
  <si>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</si>
  <si>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</si>
  <si>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</si>
  <si>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</si>
  <si>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</si>
  <si>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</si>
  <si>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</si>
  <si>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</si>
  <si>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</si>
  <si>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</si>
  <si>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</si>
  <si>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</si>
  <si>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</si>
  <si>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</si>
  <si>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</si>
  <si>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</si>
  <si>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</si>
  <si>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</si>
  <si>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</si>
  <si>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</si>
  <si>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</si>
  <si>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</si>
  <si>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</si>
  <si>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</si>
  <si>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</si>
  <si>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</si>
  <si>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</si>
  <si>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</si>
  <si>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</si>
  <si>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</si>
  <si>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</si>
  <si>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</si>
  <si>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</si>
  <si>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</si>
  <si>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</si>
  <si>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</si>
  <si>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</si>
  <si>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</si>
  <si>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</si>
  <si>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</si>
  <si>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</si>
  <si>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</si>
  <si>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</si>
  <si>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</si>
  <si>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</si>
  <si>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</si>
  <si>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</si>
  <si>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</si>
  <si>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</si>
  <si>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</si>
  <si>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</si>
  <si>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</si>
  <si>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</si>
  <si>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</si>
  <si>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</si>
  <si>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</si>
  <si>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</si>
  <si>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</si>
  <si>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</si>
  <si>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</si>
  <si>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</si>
  <si>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</si>
  <si>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</si>
  <si>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</si>
  <si>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</si>
  <si>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</si>
  <si>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</si>
  <si>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</si>
  <si>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</si>
  <si>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</si>
  <si>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</si>
  <si>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</si>
  <si>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</si>
  <si>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</si>
  <si>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</si>
  <si>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</si>
  <si>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</si>
  <si>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</si>
  <si>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</si>
  <si>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</si>
  <si>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</si>
  <si>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</si>
  <si>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</si>
  <si>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</si>
  <si>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</si>
  <si>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</si>
  <si>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</si>
  <si>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</si>
  <si>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</si>
  <si>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</si>
  <si>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</si>
  <si>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</si>
  <si>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</si>
  <si>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</si>
  <si>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</si>
  <si>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</si>
  <si>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</si>
  <si>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</si>
  <si>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</si>
  <si>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</si>
  <si>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</si>
  <si>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</si>
  <si>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</si>
  <si>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</si>
  <si>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</si>
  <si>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</si>
  <si>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</si>
  <si>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</si>
  <si>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</si>
  <si>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</si>
  <si>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</si>
  <si>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</si>
  <si>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</si>
  <si>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</si>
  <si>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</si>
  <si>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</si>
  <si>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</si>
  <si>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</si>
  <si>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</si>
  <si>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</si>
  <si>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</si>
  <si>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</si>
  <si>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</si>
  <si>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</si>
  <si>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</si>
  <si>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</si>
  <si>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</si>
  <si>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</si>
  <si>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</si>
  <si>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</si>
  <si>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</si>
  <si>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</si>
  <si>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</si>
  <si>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</si>
  <si>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</si>
  <si>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</si>
  <si>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</si>
  <si>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</si>
  <si>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</si>
  <si>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</si>
  <si>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</si>
  <si>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</si>
  <si>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</si>
  <si>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</si>
  <si>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</si>
  <si>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</si>
  <si>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</si>
  <si>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</si>
  <si>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</si>
  <si>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</si>
  <si>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</si>
  <si>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</si>
  <si>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</si>
  <si>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</si>
  <si>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</si>
  <si>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</si>
  <si>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</si>
  <si>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</si>
  <si>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</si>
  <si>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</si>
  <si>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</si>
  <si>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</si>
  <si>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</si>
  <si>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</si>
  <si>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</si>
  <si>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</si>
  <si>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</si>
  <si>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</si>
  <si>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</si>
  <si>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</si>
  <si>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</si>
  <si>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</si>
  <si>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</si>
  <si>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</si>
  <si>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</si>
  <si>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</si>
  <si>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</si>
  <si>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</si>
  <si>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</si>
  <si>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</si>
  <si>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</si>
  <si>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</si>
  <si>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</si>
  <si>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</si>
  <si>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</si>
  <si>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</si>
  <si>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</si>
  <si>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</si>
  <si>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</si>
  <si>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</si>
  <si>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</si>
  <si>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</si>
  <si>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</si>
  <si>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</si>
  <si>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</si>
  <si>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</si>
  <si>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</si>
  <si>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</si>
  <si>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</si>
  <si>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</si>
  <si>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</si>
  <si>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</si>
  <si>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</si>
  <si>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</si>
  <si>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</si>
  <si>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</si>
  <si>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</si>
  <si>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</si>
  <si>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</si>
  <si>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</si>
  <si>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</si>
  <si>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</si>
  <si>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</si>
  <si>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</si>
  <si>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</si>
  <si>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</si>
  <si>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</si>
  <si>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</si>
  <si>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</si>
  <si>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</si>
  <si>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</si>
  <si>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</si>
  <si>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</si>
  <si>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</si>
  <si>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</si>
  <si>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</si>
  <si>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</si>
  <si>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</si>
  <si>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</si>
  <si>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</si>
  <si>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</si>
  <si>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</si>
  <si>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</si>
  <si>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</si>
  <si>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</si>
  <si>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</si>
  <si>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</si>
  <si>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</si>
  <si>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</si>
  <si>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</si>
  <si>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</si>
  <si>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</si>
  <si>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</si>
  <si>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</si>
  <si>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</si>
  <si>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</si>
  <si>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</si>
  <si>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</si>
  <si>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</si>
  <si>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</si>
  <si>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</si>
  <si>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</si>
  <si>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</si>
  <si>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</si>
  <si>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</si>
  <si>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</si>
  <si>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</si>
  <si>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</si>
  <si>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</si>
  <si>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</si>
  <si>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</si>
  <si>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</si>
  <si>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</si>
  <si>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</si>
  <si>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</si>
  <si>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</si>
  <si>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</si>
  <si>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</si>
  <si>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</si>
  <si>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</si>
  <si>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</si>
  <si>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</si>
  <si>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</si>
  <si>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</si>
  <si>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</si>
  <si>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</si>
  <si>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</si>
  <si>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</si>
  <si>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</si>
  <si>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</si>
  <si>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</si>
  <si>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</si>
  <si>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</si>
  <si>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</si>
  <si>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</si>
  <si>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</si>
  <si>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</si>
  <si>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</si>
  <si>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</si>
  <si>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</si>
  <si>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</si>
  <si>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</si>
  <si>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</si>
  <si>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</si>
  <si>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</si>
  <si>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</si>
  <si>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</si>
  <si>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</si>
  <si>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</si>
  <si>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</si>
  <si>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</si>
  <si>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</si>
  <si>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</si>
  <si>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</si>
  <si>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</si>
  <si>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</si>
  <si>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</si>
  <si>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</si>
  <si>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</si>
  <si>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</si>
  <si>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</si>
  <si>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</si>
  <si>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</si>
  <si>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</si>
  <si>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</si>
  <si>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</si>
  <si>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</si>
  <si>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</si>
  <si>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</si>
  <si>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</si>
  <si>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</si>
  <si>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</si>
  <si>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</si>
  <si>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</si>
  <si>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</si>
  <si>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</si>
  <si>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</si>
  <si>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</si>
  <si>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</si>
  <si>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</si>
  <si>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</si>
  <si>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</si>
  <si>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</si>
  <si>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</si>
  <si>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</si>
  <si>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</si>
  <si>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</si>
  <si>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</si>
  <si>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</si>
  <si>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</si>
  <si>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</si>
  <si>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</si>
  <si>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</si>
  <si>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</si>
  <si>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</si>
  <si>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</si>
  <si>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</si>
  <si>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</si>
  <si>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</si>
  <si>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</si>
  <si>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</si>
  <si>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</si>
  <si>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</si>
  <si>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</si>
  <si>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</si>
  <si>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</si>
  <si>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</si>
  <si>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</si>
  <si>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</si>
  <si>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</si>
  <si>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</si>
  <si>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</si>
  <si>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</si>
  <si>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</si>
  <si>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</si>
  <si>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</si>
  <si>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</si>
  <si>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</si>
  <si>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</si>
  <si>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</si>
  <si>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</si>
  <si>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</si>
  <si>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</si>
  <si>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</si>
  <si>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</si>
  <si>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</si>
  <si>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</si>
  <si>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</si>
  <si>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</si>
  <si>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</si>
  <si>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</si>
  <si>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</si>
  <si>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</si>
  <si>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</si>
  <si>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</si>
  <si>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</si>
  <si>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</si>
  <si>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</si>
  <si>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</si>
  <si>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</si>
  <si>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</si>
  <si>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</si>
  <si>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</si>
  <si>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</si>
  <si>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</si>
  <si>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</si>
  <si>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</si>
  <si>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</si>
  <si>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</si>
  <si>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</si>
  <si>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</si>
  <si>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</si>
  <si>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</si>
  <si>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</si>
  <si>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</si>
  <si>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</si>
  <si>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</si>
  <si>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</si>
  <si>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</si>
  <si>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</si>
  <si>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</si>
  <si>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</si>
  <si>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</si>
  <si>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</si>
  <si>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</si>
  <si>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</si>
  <si>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</si>
  <si>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</si>
  <si>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</si>
  <si>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</si>
  <si>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</si>
  <si>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</si>
  <si>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</si>
  <si>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</si>
  <si>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</si>
  <si>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</si>
  <si>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</si>
  <si>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</si>
  <si>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</si>
  <si>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</si>
  <si>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</si>
  <si>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</si>
  <si>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</si>
  <si>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</si>
  <si>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</si>
  <si>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</si>
  <si>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</si>
  <si>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</si>
  <si>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</si>
  <si>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</si>
  <si>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</si>
  <si>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</si>
  <si>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</si>
  <si>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</si>
  <si>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</si>
  <si>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</si>
  <si>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</si>
  <si>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</si>
  <si>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</si>
  <si>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</si>
  <si>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</si>
  <si>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</si>
  <si>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</si>
  <si>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</si>
  <si>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</si>
  <si>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</si>
  <si>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</si>
  <si>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</si>
  <si>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</si>
  <si>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</si>
  <si>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</si>
  <si>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</si>
  <si>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</si>
  <si>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</si>
  <si>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</si>
  <si>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</si>
  <si>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</si>
  <si>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</si>
  <si>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</si>
  <si>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</si>
  <si>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</si>
  <si>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</si>
  <si>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</si>
  <si>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</si>
  <si>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</si>
  <si>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</si>
  <si>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</si>
  <si>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</si>
  <si>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</si>
  <si>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</si>
  <si>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</si>
  <si>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</si>
  <si>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</si>
  <si>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</si>
  <si>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</si>
  <si>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</si>
  <si>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</si>
  <si>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</si>
  <si>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</si>
  <si>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</si>
  <si>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</si>
  <si>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</si>
  <si>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</si>
  <si>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</si>
  <si>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</si>
  <si>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</si>
  <si>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</si>
  <si>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</si>
  <si>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</si>
  <si>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</si>
  <si>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</si>
  <si>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</si>
  <si>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</si>
  <si>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</si>
  <si>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</si>
  <si>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</si>
  <si>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</si>
  <si>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</si>
  <si>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</si>
  <si>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</si>
  <si>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</si>
  <si>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</si>
  <si>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</si>
  <si>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</si>
  <si>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</si>
  <si>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</si>
  <si>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</si>
  <si>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</si>
  <si>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</si>
  <si>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</si>
  <si>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</si>
  <si>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</si>
  <si>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</si>
  <si>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</si>
  <si>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</si>
  <si>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</si>
  <si>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</si>
  <si>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</si>
  <si>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</si>
  <si>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</si>
  <si>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</si>
  <si>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</si>
  <si>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</si>
  <si>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</si>
  <si>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</si>
  <si>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</si>
  <si>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</si>
  <si>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</si>
  <si>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</si>
  <si>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</si>
  <si>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</si>
  <si>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</si>
  <si>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</si>
  <si>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</si>
  <si>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</si>
  <si>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</si>
  <si>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</si>
  <si>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</si>
  <si>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</si>
  <si>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</si>
  <si>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</si>
  <si>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</si>
  <si>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</si>
  <si>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</si>
  <si>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</si>
  <si>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</si>
  <si>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</si>
  <si>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</si>
  <si>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</si>
  <si>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</si>
  <si>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</si>
  <si>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</si>
  <si>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</si>
  <si>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</si>
  <si>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</si>
  <si>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</si>
  <si>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</si>
  <si>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</si>
  <si>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</si>
  <si>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</si>
  <si>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</si>
  <si>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</si>
  <si>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</si>
  <si>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</si>
  <si>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</si>
  <si>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</si>
  <si>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</si>
  <si>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</si>
  <si>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</si>
  <si>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</si>
  <si>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</si>
  <si>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</si>
  <si>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</si>
  <si>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</si>
  <si>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</si>
  <si>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</si>
  <si>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</si>
  <si>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</si>
  <si>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</si>
  <si>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</si>
  <si>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</si>
  <si>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</si>
  <si>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</si>
  <si>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</si>
  <si>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</si>
  <si>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</si>
  <si>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</si>
  <si>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</si>
  <si>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</si>
  <si>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</si>
  <si>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</si>
  <si>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</si>
  <si>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</si>
  <si>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</si>
  <si>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</si>
  <si>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</si>
  <si>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</si>
  <si>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</si>
  <si>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</si>
  <si>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</si>
  <si>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</si>
  <si>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</si>
  <si>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</si>
  <si>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</si>
  <si>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</si>
  <si>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</si>
  <si>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</si>
  <si>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</si>
  <si>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</si>
  <si>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</si>
  <si>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</si>
  <si>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</si>
  <si>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</si>
  <si>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</si>
  <si>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</si>
  <si>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</si>
  <si>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</si>
  <si>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</si>
  <si>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</si>
  <si>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</si>
  <si>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</si>
  <si>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</si>
  <si>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</si>
  <si>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</si>
  <si>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</si>
  <si>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</si>
  <si>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</si>
  <si>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</si>
  <si>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</si>
  <si>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</si>
  <si>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</si>
  <si>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</si>
  <si>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</si>
  <si>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</si>
  <si>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</si>
  <si>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</si>
  <si>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</si>
  <si>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</si>
  <si>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</si>
  <si>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</si>
  <si>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</si>
  <si>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</si>
  <si>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</si>
  <si>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</si>
  <si>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</si>
  <si>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</si>
  <si>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</si>
  <si>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</si>
  <si>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</si>
  <si>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</si>
  <si>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</si>
  <si>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</si>
  <si>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</si>
  <si>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</si>
  <si>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</si>
  <si>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</si>
  <si>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</si>
  <si>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</si>
  <si>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</si>
  <si>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</si>
  <si>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</si>
  <si>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</si>
  <si>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</si>
  <si>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</si>
  <si>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</si>
  <si>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</si>
  <si>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</si>
  <si>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</si>
  <si>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</si>
  <si>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</si>
  <si>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</si>
  <si>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</si>
  <si>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</si>
  <si>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</si>
  <si>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</si>
  <si>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</si>
  <si>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</si>
  <si>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</si>
  <si>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</si>
  <si>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</si>
  <si>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</si>
  <si>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</si>
  <si>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</si>
  <si>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</si>
  <si>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</si>
  <si>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</si>
  <si>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</si>
  <si>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</si>
  <si>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</si>
  <si>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</si>
  <si>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</si>
  <si>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</si>
  <si>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</si>
  <si>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</si>
  <si>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</si>
  <si>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</si>
  <si>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</si>
  <si>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</si>
  <si>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</si>
  <si>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</si>
  <si>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</si>
  <si>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</si>
  <si>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</si>
  <si>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</si>
  <si>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</si>
  <si>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</si>
  <si>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</si>
  <si>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</si>
  <si>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</si>
  <si>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</si>
  <si>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</si>
  <si>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</si>
  <si>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</si>
  <si>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</si>
  <si>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</si>
  <si>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</si>
  <si>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</si>
  <si>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</si>
  <si>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</si>
  <si>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</si>
  <si>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</si>
  <si>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</si>
  <si>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</si>
  <si>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</si>
  <si>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</si>
  <si>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</si>
  <si>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</si>
  <si>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</si>
  <si>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</si>
  <si>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</si>
  <si>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</si>
  <si>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</si>
  <si>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</si>
  <si>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</si>
  <si>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</si>
  <si>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</si>
  <si>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</si>
  <si>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</si>
  <si>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</si>
  <si>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</si>
  <si>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</si>
  <si>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</si>
  <si>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</si>
  <si>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</si>
  <si>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</si>
  <si>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</si>
  <si>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</si>
  <si>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</si>
  <si>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</si>
  <si>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</si>
  <si>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</si>
  <si>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</si>
  <si>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</si>
  <si>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</si>
  <si>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</si>
  <si>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</si>
  <si>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</si>
  <si>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</si>
  <si>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</si>
  <si>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</si>
  <si>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</si>
  <si>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</si>
  <si>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</si>
  <si>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</si>
  <si>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</si>
  <si>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</si>
  <si>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</si>
  <si>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</si>
  <si>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</si>
  <si>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</si>
  <si>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</si>
  <si>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</si>
  <si>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</si>
  <si>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</si>
  <si>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</si>
  <si>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</si>
  <si>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</si>
  <si>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</si>
  <si>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</si>
  <si>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</si>
  <si>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</si>
  <si>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</si>
  <si>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</si>
  <si>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</si>
  <si>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</si>
  <si>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</si>
  <si>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</si>
  <si>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</si>
  <si>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</si>
  <si>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</si>
  <si>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</si>
  <si>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</si>
  <si>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</si>
  <si>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</si>
  <si>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</si>
  <si>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</si>
  <si>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</si>
  <si>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</si>
  <si>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</si>
  <si>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</si>
  <si>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</si>
  <si>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</si>
  <si>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</si>
  <si>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</si>
  <si>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</si>
  <si>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</si>
  <si>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</si>
  <si>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</si>
  <si>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</si>
  <si>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</si>
  <si>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</si>
  <si>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</si>
  <si>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</si>
  <si>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</si>
  <si>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</si>
  <si>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</si>
  <si>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</si>
  <si>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</si>
  <si>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</si>
  <si>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</si>
  <si>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</si>
  <si>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</si>
  <si>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</si>
  <si>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</si>
  <si>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</si>
  <si>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</si>
  <si>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</si>
  <si>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</si>
  <si>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</si>
  <si>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</si>
  <si>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</si>
  <si>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</si>
  <si>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</si>
  <si>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</si>
  <si>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</si>
  <si>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</si>
  <si>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</si>
  <si>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</si>
  <si>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</si>
  <si>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</si>
  <si>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</si>
  <si>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</si>
  <si>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</si>
  <si>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</si>
  <si>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</si>
  <si>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</si>
  <si>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</si>
  <si>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</si>
  <si>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</si>
  <si>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</si>
  <si>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</si>
  <si>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</si>
  <si>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</si>
  <si>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</si>
  <si>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</si>
  <si>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</si>
  <si>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</si>
  <si>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</si>
  <si>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</si>
  <si>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</si>
  <si>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</si>
  <si>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</si>
  <si>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</si>
  <si>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</si>
  <si>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</si>
  <si>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</si>
  <si>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</si>
  <si>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</si>
  <si>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</si>
  <si>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</si>
  <si>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</si>
  <si>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</si>
  <si>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</si>
  <si>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</si>
  <si>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</si>
  <si>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</si>
  <si>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</si>
  <si>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</si>
  <si>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</si>
  <si>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</si>
  <si>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</si>
  <si>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</si>
  <si>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</si>
  <si>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</si>
  <si>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</si>
  <si>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</si>
  <si>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</si>
  <si>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</si>
  <si>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</si>
  <si>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</si>
  <si>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</si>
  <si>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</si>
  <si>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</si>
  <si>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</si>
  <si>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</si>
  <si>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</si>
  <si>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</si>
  <si>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</si>
  <si>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</si>
  <si>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</si>
  <si>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</si>
  <si>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</si>
  <si>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</si>
  <si>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</si>
  <si>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</si>
  <si>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</si>
  <si>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</si>
  <si>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</si>
  <si>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</si>
  <si>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</si>
  <si>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</si>
  <si>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</si>
  <si>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</si>
  <si>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</si>
  <si>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</si>
  <si>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</si>
  <si>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</si>
  <si>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</si>
  <si>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</si>
  <si>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</si>
  <si>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</si>
  <si>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</si>
  <si>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</si>
  <si>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</si>
  <si>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</si>
  <si>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</si>
  <si>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</si>
  <si>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</si>
  <si>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</si>
  <si>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</si>
  <si>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</si>
  <si>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</si>
  <si>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</si>
  <si>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</si>
  <si>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</si>
  <si>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</si>
  <si>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</si>
  <si>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</si>
  <si>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</si>
  <si>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</si>
  <si>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</si>
  <si>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</si>
  <si>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</si>
  <si>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</si>
  <si>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</si>
  <si>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</si>
  <si>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</si>
  <si>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</si>
  <si>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</si>
  <si>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</si>
  <si>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</si>
  <si>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</si>
  <si>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</si>
  <si>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</si>
  <si>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</si>
  <si>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</si>
  <si>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</si>
  <si>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</si>
  <si>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</si>
  <si>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</si>
  <si>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</si>
  <si>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</si>
  <si>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</si>
  <si>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</si>
  <si>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</si>
  <si>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</si>
  <si>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</si>
  <si>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</si>
  <si>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</si>
  <si>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</si>
  <si>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</si>
  <si>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</si>
  <si>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</si>
  <si>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</si>
  <si>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</si>
  <si>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</si>
  <si>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</si>
  <si>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</si>
  <si>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</si>
  <si>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</si>
  <si>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</si>
  <si>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</si>
  <si>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</si>
  <si>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</si>
  <si>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</si>
  <si>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</si>
  <si>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</si>
  <si>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</si>
  <si>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</si>
  <si>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</si>
  <si>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</si>
  <si>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</si>
  <si>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</si>
  <si>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</si>
  <si>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</si>
  <si>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</si>
  <si>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</si>
  <si>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</si>
  <si>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</si>
  <si>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</si>
  <si>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</si>
  <si>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</si>
  <si>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</si>
  <si>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</si>
  <si>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</si>
  <si>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</si>
  <si>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</si>
  <si>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</si>
  <si>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</si>
  <si>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</si>
  <si>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</si>
  <si>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</si>
  <si>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</si>
  <si>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</si>
  <si>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</si>
  <si>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</si>
  <si>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</si>
  <si>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</si>
  <si>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</si>
  <si>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</si>
  <si>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</si>
  <si>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</si>
  <si>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</si>
  <si>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</si>
  <si>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</si>
  <si>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</si>
  <si>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</si>
  <si>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</si>
  <si>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</si>
  <si>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</si>
  <si>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</si>
  <si>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</si>
  <si>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</si>
  <si>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</si>
  <si>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</si>
  <si>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</si>
  <si>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</si>
  <si>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</si>
  <si>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</si>
  <si>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</si>
  <si>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</si>
  <si>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</si>
  <si>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</si>
  <si>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</si>
  <si>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</si>
  <si>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</si>
  <si>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</si>
  <si>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</si>
  <si>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</si>
  <si>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</si>
  <si>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</si>
  <si>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</si>
  <si>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</si>
  <si>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</si>
  <si>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</si>
  <si>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</si>
  <si>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</si>
  <si>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</si>
  <si>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</si>
  <si>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</si>
  <si>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</si>
  <si>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</si>
  <si>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</si>
  <si>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</si>
  <si>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</si>
  <si>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</si>
  <si>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</si>
  <si>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</si>
  <si>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</si>
  <si>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</si>
  <si>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</si>
  <si>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</si>
  <si>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</si>
  <si>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</si>
  <si>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</si>
  <si>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</si>
  <si>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</si>
  <si>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</si>
  <si>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</si>
  <si>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</si>
  <si>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</si>
  <si>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</si>
  <si>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</si>
  <si>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</si>
  <si>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</si>
  <si>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</si>
  <si>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</si>
  <si>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</si>
  <si>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</si>
  <si>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</si>
  <si>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</si>
  <si>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</si>
  <si>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</si>
  <si>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</si>
  <si>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</si>
  <si>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</si>
  <si>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</si>
  <si>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</si>
  <si>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</si>
  <si>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</si>
  <si>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</si>
  <si>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</si>
  <si>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</si>
  <si>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</si>
  <si>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</si>
  <si>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</si>
  <si>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</si>
  <si>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</si>
  <si>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</si>
  <si>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</si>
  <si>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</si>
  <si>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</si>
  <si>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</si>
  <si>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</si>
  <si>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</si>
  <si>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</si>
  <si>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</si>
  <si>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</si>
  <si>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</si>
  <si>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</si>
  <si>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</si>
  <si>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</si>
  <si>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</si>
  <si>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</si>
  <si>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</si>
  <si>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</si>
  <si>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</si>
  <si>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</si>
  <si>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</si>
  <si>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</si>
  <si>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</si>
  <si>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</si>
  <si>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</si>
  <si>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</si>
  <si>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</si>
  <si>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</si>
  <si>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</si>
  <si>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</si>
  <si>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</si>
  <si>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</si>
  <si>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</si>
  <si>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</si>
  <si>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</si>
  <si>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</si>
  <si>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</si>
  <si>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</si>
  <si>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</si>
  <si>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</si>
  <si>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</si>
  <si>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</si>
  <si>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</si>
  <si>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</si>
  <si>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</si>
  <si>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</si>
  <si>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</si>
  <si>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</si>
  <si>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</si>
  <si>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</si>
  <si>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</si>
  <si>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</si>
  <si>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</si>
  <si>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</si>
  <si>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</si>
  <si>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</si>
  <si>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</si>
  <si>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</si>
  <si>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</si>
  <si>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</si>
  <si>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</si>
  <si>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</si>
  <si>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</si>
  <si>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</si>
  <si>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</si>
  <si>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</si>
  <si>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</si>
  <si>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</si>
  <si>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</si>
  <si>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</si>
  <si>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</si>
  <si>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</si>
  <si>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</si>
  <si>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</si>
  <si>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</si>
  <si>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</si>
  <si>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</si>
  <si>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</si>
  <si>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</si>
  <si>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</si>
  <si>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</si>
  <si>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</si>
  <si>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</si>
  <si>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</si>
  <si>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</si>
  <si>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</si>
  <si>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</si>
  <si>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</si>
  <si>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</si>
  <si>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</si>
  <si>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</si>
  <si>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</si>
  <si>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</si>
  <si>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</si>
  <si>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</si>
  <si>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</si>
  <si>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</si>
  <si>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</si>
  <si>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</si>
  <si>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</si>
  <si>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</si>
  <si>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</si>
  <si>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</si>
  <si>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</si>
  <si>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</si>
  <si>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</si>
  <si>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</si>
  <si>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</si>
  <si>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</si>
  <si>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</si>
  <si>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</si>
  <si>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</si>
  <si>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</si>
  <si>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</si>
  <si>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</si>
  <si>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</si>
  <si>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</si>
  <si>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</si>
  <si>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</si>
  <si>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</si>
  <si>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</si>
  <si>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</si>
  <si>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</si>
  <si>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</si>
  <si>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</si>
  <si>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</si>
  <si>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</si>
  <si>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</si>
  <si>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</si>
  <si>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</si>
  <si>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</si>
  <si>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</si>
  <si>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</si>
  <si>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</si>
  <si>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</si>
  <si>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</si>
  <si>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</si>
  <si>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</si>
  <si>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</si>
  <si>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</si>
  <si>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</si>
  <si>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</si>
  <si>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</si>
  <si>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</si>
  <si>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</si>
  <si>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</si>
  <si>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</si>
  <si>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</si>
  <si>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</si>
  <si>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</si>
  <si>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</si>
  <si>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</si>
  <si>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</si>
  <si>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</si>
  <si>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</si>
  <si>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</si>
  <si>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</si>
  <si>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</si>
  <si>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</si>
  <si>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</si>
  <si>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</si>
  <si>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</si>
  <si>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</si>
  <si>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</si>
  <si>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</si>
  <si>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</si>
  <si>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</si>
  <si>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</si>
  <si>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</si>
  <si>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</si>
  <si>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</si>
  <si>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</si>
  <si>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</si>
  <si>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</si>
  <si>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</si>
  <si>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</si>
  <si>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</si>
  <si>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</si>
  <si>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</si>
  <si>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</si>
  <si>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</si>
  <si>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</si>
  <si>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</si>
  <si>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</si>
  <si>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</si>
  <si>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</si>
  <si>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</si>
  <si>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</si>
  <si>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</si>
  <si>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</si>
  <si>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</si>
  <si>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</si>
  <si>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</si>
  <si>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</si>
  <si>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</si>
  <si>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</si>
  <si>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</si>
  <si>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</si>
  <si>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</si>
  <si>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</si>
  <si>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</si>
  <si>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</si>
  <si>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</si>
  <si>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</si>
  <si>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</si>
  <si>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</si>
  <si>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</si>
  <si>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</si>
  <si>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</si>
  <si>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</si>
  <si>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</si>
  <si>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</si>
  <si>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</si>
  <si>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</si>
  <si>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</si>
  <si>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</si>
  <si>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</si>
  <si>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</si>
  <si>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</si>
  <si>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</si>
  <si>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</si>
  <si>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</si>
  <si>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</si>
  <si>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</si>
  <si>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</si>
  <si>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</si>
  <si>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</si>
  <si>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</si>
  <si>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</si>
  <si>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</si>
  <si>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</si>
  <si>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</si>
  <si>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</si>
  <si>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</si>
  <si>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</si>
  <si>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</si>
  <si>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</si>
  <si>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</si>
  <si>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</si>
  <si>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</si>
  <si>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</si>
  <si>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</si>
  <si>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</si>
  <si>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</si>
  <si>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</si>
  <si>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</si>
  <si>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</si>
  <si>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</si>
  <si>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</si>
  <si>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</si>
  <si>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</si>
  <si>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</si>
  <si>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</si>
  <si>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</si>
  <si>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</si>
  <si>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</si>
  <si>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</si>
  <si>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</si>
  <si>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</si>
  <si>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</si>
  <si>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</si>
  <si>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</si>
  <si>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</si>
  <si>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</si>
  <si>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</si>
  <si>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</si>
  <si>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</si>
  <si>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</si>
  <si>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</si>
  <si>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</si>
  <si>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</si>
  <si>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</si>
  <si>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</si>
  <si>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</si>
  <si>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</si>
  <si>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</si>
  <si>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</si>
  <si>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</si>
  <si>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</si>
  <si>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</si>
  <si>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</si>
  <si>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</si>
  <si>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</si>
  <si>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</si>
  <si>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</si>
  <si>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</si>
  <si>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</si>
  <si>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</si>
  <si>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</si>
  <si>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</si>
  <si>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</si>
  <si>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</si>
  <si>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</si>
  <si>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</si>
  <si>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</si>
  <si>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</si>
  <si>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</si>
  <si>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</si>
  <si>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</si>
  <si>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</si>
  <si>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</si>
  <si>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</si>
  <si>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</si>
  <si>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</si>
  <si>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</si>
  <si>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</si>
  <si>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</si>
  <si>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</si>
  <si>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</si>
  <si>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</si>
  <si>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</si>
  <si>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</si>
  <si>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</si>
  <si>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</si>
  <si>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</si>
  <si>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</si>
  <si>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</si>
  <si>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</si>
  <si>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</si>
  <si>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</si>
  <si>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</si>
  <si>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</si>
  <si>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</si>
  <si>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</si>
  <si>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</si>
  <si>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</si>
  <si>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</si>
  <si>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</si>
  <si>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</si>
  <si>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</si>
  <si>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</si>
  <si>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</si>
  <si>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</si>
  <si>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</si>
  <si>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</si>
  <si>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</si>
  <si>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</si>
  <si>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</si>
  <si>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</si>
  <si>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</si>
  <si>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</si>
  <si>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</si>
  <si>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</si>
  <si>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</si>
  <si>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</si>
  <si>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</si>
  <si>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</si>
  <si>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</si>
  <si>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</si>
  <si>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</si>
  <si>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</si>
  <si>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</si>
  <si>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</si>
  <si>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</si>
  <si>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</si>
  <si>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</si>
  <si>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</si>
  <si>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</si>
  <si>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</si>
  <si>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</si>
  <si>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</si>
  <si>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</si>
  <si>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</si>
  <si>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</si>
  <si>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</si>
  <si>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</si>
  <si>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</si>
  <si>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</si>
  <si>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</si>
  <si>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</si>
  <si>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</si>
  <si>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</si>
  <si>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</si>
  <si>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</si>
  <si>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</si>
  <si>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</si>
  <si>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</si>
  <si>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</si>
  <si>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</si>
  <si>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</si>
  <si>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</si>
  <si>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</si>
  <si>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</si>
  <si>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</si>
  <si>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</si>
  <si>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</si>
  <si>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</si>
  <si>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</si>
  <si>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</si>
  <si>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</si>
  <si>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</si>
  <si>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</si>
  <si>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</si>
  <si>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</si>
  <si>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</si>
  <si>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</si>
  <si>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</si>
  <si>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</si>
  <si>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</si>
  <si>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</si>
  <si>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</si>
  <si>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</si>
  <si>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</si>
  <si>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</si>
  <si>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</si>
  <si>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</si>
  <si>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</si>
  <si>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</si>
  <si>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</si>
  <si>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</si>
  <si>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</si>
  <si>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</si>
  <si>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</si>
  <si>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</si>
  <si>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</si>
  <si>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</si>
  <si>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</si>
  <si>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</si>
  <si>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</si>
  <si>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</si>
  <si>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</si>
  <si>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</si>
  <si>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</si>
  <si>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</si>
  <si>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</si>
  <si>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</si>
  <si>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</si>
  <si>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</si>
  <si>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</si>
  <si>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</si>
  <si>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</si>
  <si>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</si>
  <si>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</si>
  <si>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</si>
  <si>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</si>
  <si>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</si>
  <si>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</si>
  <si>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</si>
  <si>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</si>
  <si>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</si>
  <si>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</si>
  <si>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</si>
  <si>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</si>
  <si>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</si>
  <si>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</si>
  <si>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</si>
  <si>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</si>
  <si>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</si>
  <si>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</si>
  <si>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</si>
  <si>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</si>
  <si>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</si>
  <si>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</si>
  <si>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</si>
  <si>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</si>
  <si>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</si>
  <si>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</si>
  <si>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</si>
  <si>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</si>
  <si>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</si>
  <si>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</si>
  <si>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</si>
  <si>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</si>
  <si>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</si>
  <si>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</si>
  <si>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</si>
  <si>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</si>
  <si>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</si>
  <si>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</si>
  <si>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</si>
  <si>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</si>
  <si>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</si>
  <si>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</si>
  <si>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</si>
  <si>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</si>
  <si>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</si>
  <si>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</si>
  <si>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</si>
  <si>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</si>
  <si>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</si>
  <si>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</si>
  <si>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</si>
  <si>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</si>
  <si>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</si>
  <si>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</si>
  <si>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</si>
  <si>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</si>
  <si>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</si>
  <si>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</si>
  <si>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</si>
  <si>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</si>
  <si>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</si>
  <si>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</si>
  <si>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</si>
  <si>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</si>
  <si>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</si>
  <si>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</si>
  <si>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</si>
  <si>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</si>
  <si>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</si>
  <si>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</si>
  <si>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</si>
  <si>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</si>
  <si>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</si>
  <si>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</si>
  <si>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</si>
  <si>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</si>
  <si>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</si>
  <si>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</si>
  <si>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</si>
  <si>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</si>
  <si>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</si>
  <si>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</si>
  <si>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</si>
  <si>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</si>
  <si>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</si>
  <si>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</si>
  <si>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</si>
  <si>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</si>
  <si>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</si>
  <si>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</si>
  <si>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</si>
  <si>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</si>
  <si>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</si>
  <si>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</si>
  <si>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</si>
  <si>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</si>
  <si>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</si>
  <si>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</si>
  <si>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</si>
  <si>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</si>
  <si>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</si>
  <si>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</si>
  <si>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</si>
  <si>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</si>
  <si>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</si>
  <si>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</si>
  <si>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</si>
  <si>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</si>
  <si>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</si>
  <si>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</si>
  <si>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</si>
  <si>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</si>
  <si>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</si>
  <si>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</si>
  <si>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</si>
  <si>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</si>
  <si>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</si>
  <si>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</si>
  <si>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</si>
  <si>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</si>
  <si>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</si>
  <si>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</si>
  <si>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</si>
  <si>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</si>
  <si>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</si>
  <si>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</si>
  <si>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</si>
  <si>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</si>
  <si>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</si>
  <si>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</si>
  <si>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</si>
  <si>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</si>
  <si>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</si>
  <si>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</si>
  <si>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</si>
  <si>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</si>
  <si>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</si>
  <si>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</si>
  <si>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</si>
  <si>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</si>
  <si>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</si>
  <si>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</si>
  <si>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</si>
  <si>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</si>
  <si>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</si>
  <si>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</si>
  <si>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</si>
  <si>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</si>
  <si>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</si>
  <si>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</si>
  <si>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</si>
  <si>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</si>
  <si>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</si>
  <si>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</si>
  <si>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</si>
  <si>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</si>
  <si>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</si>
  <si>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</si>
  <si>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</si>
  <si>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</si>
  <si>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</si>
  <si>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</si>
  <si>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</si>
  <si>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</si>
  <si>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</si>
  <si>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</si>
  <si>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</si>
  <si>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</si>
  <si>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</si>
  <si>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</si>
  <si>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</si>
  <si>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</si>
  <si>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</si>
  <si>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</si>
  <si>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</si>
  <si>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</si>
  <si>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</si>
  <si>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</si>
  <si>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</si>
  <si>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</si>
  <si>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</si>
  <si>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</si>
  <si>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</si>
  <si>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</si>
  <si>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</si>
  <si>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</si>
  <si>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</si>
  <si>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</si>
  <si>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</si>
  <si>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</si>
  <si>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</si>
  <si>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</si>
  <si>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</si>
  <si>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</si>
  <si>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</si>
  <si>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</si>
  <si>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</si>
  <si>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</si>
  <si>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</si>
  <si>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</si>
  <si>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</si>
  <si>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</si>
  <si>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</si>
  <si>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</si>
  <si>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</si>
  <si>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</si>
  <si>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</si>
  <si>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</si>
  <si>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</si>
  <si>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</si>
  <si>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</si>
  <si>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</si>
  <si>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</si>
  <si>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</si>
  <si>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</si>
  <si>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</si>
  <si>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</si>
  <si>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</si>
  <si>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</si>
  <si>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</si>
  <si>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</si>
  <si>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</si>
  <si>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</si>
  <si>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</si>
  <si>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</si>
  <si>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</si>
  <si>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</si>
  <si>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</si>
  <si>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</si>
  <si>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</si>
  <si>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</si>
  <si>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</si>
  <si>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</si>
  <si>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</si>
  <si>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</si>
  <si>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</si>
  <si>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</si>
  <si>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</si>
  <si>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</si>
  <si>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</si>
  <si>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</si>
  <si>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</si>
  <si>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</si>
  <si>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</si>
  <si>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</si>
  <si>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</si>
  <si>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</si>
  <si>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</si>
  <si>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</si>
  <si>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</si>
  <si>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</si>
  <si>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</si>
  <si>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</si>
  <si>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</si>
  <si>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</si>
  <si>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</si>
  <si>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</si>
  <si>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</si>
  <si>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</si>
  <si>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</si>
  <si>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</si>
  <si>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</si>
  <si>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</si>
  <si>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</si>
  <si>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</si>
  <si>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</si>
  <si>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</si>
  <si>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</si>
  <si>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</si>
  <si>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</si>
  <si>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</si>
  <si>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</si>
  <si>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</si>
  <si>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</si>
  <si>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</si>
  <si>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</si>
  <si>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</si>
  <si>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</si>
  <si>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</si>
  <si>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</si>
  <si>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</si>
  <si>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</si>
  <si>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</si>
  <si>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</si>
  <si>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</si>
  <si>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</si>
  <si>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</si>
  <si>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</si>
  <si>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</si>
  <si>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</si>
  <si>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</si>
  <si>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</si>
  <si>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</si>
  <si>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</si>
  <si>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</si>
  <si>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</si>
  <si>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</si>
  <si>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</si>
  <si>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</si>
  <si>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</si>
  <si>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</si>
  <si>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</si>
  <si>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</si>
  <si>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</si>
  <si>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</si>
  <si>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</si>
  <si>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</si>
  <si>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</si>
  <si>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</si>
  <si>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</si>
  <si>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</si>
  <si>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</si>
  <si>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</si>
  <si>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</si>
  <si>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</si>
  <si>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</si>
  <si>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</si>
  <si>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</si>
  <si>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</si>
  <si>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</si>
  <si>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</si>
  <si>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</si>
  <si>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</si>
  <si>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</si>
  <si>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</si>
  <si>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</si>
  <si>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</si>
  <si>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</si>
  <si>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</si>
  <si>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</si>
  <si>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</si>
  <si>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</si>
  <si>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</si>
  <si>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</si>
  <si>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</si>
  <si>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</si>
  <si>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</si>
  <si>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</si>
  <si>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</si>
  <si>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</si>
  <si>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</si>
  <si>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</si>
  <si>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</si>
  <si>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</si>
  <si>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</si>
  <si>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</si>
  <si>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</si>
  <si>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</si>
  <si>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</si>
  <si>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</si>
  <si>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</si>
  <si>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</si>
  <si>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</si>
  <si>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</si>
  <si>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</si>
  <si>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</si>
  <si>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</si>
  <si>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</si>
  <si>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</si>
  <si>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</si>
  <si>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</si>
  <si>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</si>
  <si>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</si>
  <si>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</si>
  <si>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</si>
  <si>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</si>
  <si>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</si>
  <si>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</si>
  <si>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</si>
  <si>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</si>
  <si>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</si>
  <si>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</si>
  <si>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</si>
  <si>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</si>
  <si>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</si>
  <si>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</si>
  <si>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</si>
  <si>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</si>
  <si>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</si>
  <si>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</si>
  <si>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</si>
  <si>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</si>
  <si>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</si>
  <si>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</si>
  <si>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</si>
  <si>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</si>
  <si>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</si>
  <si>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</si>
  <si>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</si>
  <si>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</si>
  <si>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</si>
  <si>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</si>
  <si>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</si>
  <si>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</si>
  <si>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</si>
  <si>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</si>
  <si>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</si>
  <si>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</si>
  <si>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</si>
  <si>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</si>
  <si>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</si>
  <si>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</si>
  <si>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</si>
  <si>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</si>
  <si>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</si>
  <si>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</si>
  <si>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</si>
  <si>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</si>
  <si>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</si>
  <si>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</si>
  <si>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</si>
  <si>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</si>
  <si>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</si>
  <si>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</si>
  <si>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</si>
  <si>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</si>
  <si>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</si>
  <si>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</si>
  <si>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</si>
  <si>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</si>
  <si>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</si>
  <si>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</si>
  <si>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</si>
  <si>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</si>
  <si>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</si>
  <si>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</si>
  <si>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</si>
  <si>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</si>
  <si>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</si>
  <si>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</si>
  <si>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</si>
  <si>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</si>
  <si>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</si>
  <si>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</si>
  <si>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</si>
  <si>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</si>
  <si>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</si>
  <si>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</si>
  <si>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</si>
  <si>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</si>
  <si>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</si>
  <si>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</si>
  <si>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</si>
  <si>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</si>
  <si>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</si>
  <si>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</si>
  <si>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</si>
  <si>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</si>
  <si>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</si>
  <si>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</si>
  <si>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</si>
  <si>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</si>
  <si>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</si>
  <si>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</si>
  <si>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</si>
  <si>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</si>
  <si>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</si>
  <si>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</si>
  <si>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</si>
  <si>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</si>
  <si>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</si>
  <si>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</si>
  <si>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</si>
  <si>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</si>
  <si>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</si>
  <si>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</si>
  <si>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</si>
  <si>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</si>
  <si>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</si>
  <si>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</si>
  <si>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</si>
  <si>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</si>
  <si>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</si>
  <si>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</si>
  <si>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</si>
  <si>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</si>
  <si>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</si>
  <si>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</si>
  <si>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</si>
  <si>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</si>
  <si>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</si>
  <si>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</si>
  <si>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</si>
  <si>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</si>
  <si>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</si>
  <si>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</si>
  <si>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</si>
  <si>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</si>
  <si>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</si>
  <si>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</si>
  <si>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</si>
  <si>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</si>
  <si>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</si>
  <si>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</si>
  <si>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</si>
  <si>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</si>
  <si>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</si>
  <si>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</si>
  <si>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</si>
  <si>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</si>
  <si>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</si>
  <si>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</si>
  <si>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</si>
  <si>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</si>
  <si>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</si>
  <si>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</si>
  <si>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</si>
  <si>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</si>
  <si>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</si>
  <si>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</si>
  <si>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</si>
  <si>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</si>
  <si>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</si>
  <si>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</si>
  <si>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</si>
  <si>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</si>
  <si>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</si>
  <si>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</si>
  <si>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</si>
  <si>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</si>
  <si>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</si>
  <si>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</si>
  <si>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</si>
  <si>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</si>
  <si>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</si>
  <si>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</si>
  <si>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</si>
  <si>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</si>
  <si>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</si>
  <si>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</si>
  <si>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</si>
  <si>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</si>
  <si>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</si>
  <si>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</si>
  <si>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</si>
  <si>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</si>
  <si>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</si>
  <si>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</si>
  <si>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</si>
  <si>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</si>
  <si>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</si>
  <si>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</si>
  <si>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</si>
  <si>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</si>
  <si>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</si>
  <si>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</si>
  <si>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</si>
  <si>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</si>
  <si>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</si>
  <si>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</si>
  <si>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</si>
  <si>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</si>
  <si>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</si>
  <si>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</si>
  <si>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</si>
  <si>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</si>
  <si>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</si>
  <si>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</si>
  <si>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</si>
  <si>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</si>
  <si>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</si>
  <si>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</si>
  <si>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</si>
  <si>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</si>
  <si>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</si>
  <si>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</si>
  <si>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</si>
  <si>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</si>
  <si>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</si>
  <si>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</si>
  <si>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</si>
  <si>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</si>
  <si>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</si>
  <si>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</si>
  <si>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</si>
  <si>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</si>
  <si>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</si>
  <si>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</si>
  <si>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</si>
  <si>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</si>
  <si>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</si>
  <si>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</si>
  <si>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</si>
  <si>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</si>
  <si>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</si>
  <si>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</si>
  <si>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</si>
  <si>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</si>
  <si>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</si>
  <si>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</si>
  <si>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</si>
  <si>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</si>
  <si>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</si>
  <si>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</si>
  <si>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</si>
  <si>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</si>
  <si>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</si>
  <si>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</si>
  <si>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</si>
  <si>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</si>
  <si>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</si>
  <si>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</si>
  <si>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</si>
  <si>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</si>
  <si>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</si>
  <si>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</si>
  <si>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</si>
  <si>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</si>
  <si>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</si>
  <si>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</si>
  <si>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</si>
  <si>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</si>
  <si>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</si>
  <si>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</si>
  <si>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</si>
  <si>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</si>
  <si>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</si>
  <si>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</si>
  <si>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</si>
  <si>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</si>
  <si>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</si>
  <si>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</si>
  <si>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</si>
  <si>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</si>
  <si>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</si>
  <si>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</si>
  <si>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</si>
  <si>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</si>
  <si>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</si>
  <si>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</si>
  <si>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</si>
  <si>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</si>
  <si>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</si>
  <si>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</si>
  <si>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</si>
  <si>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</si>
  <si>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</si>
  <si>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</si>
  <si>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</si>
  <si>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</si>
  <si>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</si>
  <si>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</si>
  <si>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</si>
  <si>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</si>
  <si>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</si>
  <si>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</si>
  <si>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</si>
  <si>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</si>
  <si>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</si>
  <si>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</si>
  <si>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</si>
  <si>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</si>
  <si>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</si>
  <si>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</si>
  <si>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</si>
  <si>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</si>
  <si>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</si>
  <si>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</si>
  <si>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</si>
  <si>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</si>
  <si>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</si>
  <si>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</si>
  <si>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</si>
  <si>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</si>
  <si>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</si>
  <si>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</si>
  <si>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</si>
  <si>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</si>
  <si>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</si>
  <si>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</si>
  <si>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</si>
  <si>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</si>
  <si>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</si>
  <si>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</si>
  <si>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</si>
  <si>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</si>
  <si>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</si>
  <si>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</si>
  <si>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</si>
  <si>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</si>
  <si>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</si>
  <si>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</si>
  <si>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</si>
  <si>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</si>
  <si>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</si>
  <si>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</si>
  <si>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</si>
  <si>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</si>
  <si>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</si>
  <si>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</si>
  <si>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</si>
  <si>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</si>
  <si>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</si>
  <si>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</si>
  <si>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</si>
  <si>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</si>
  <si>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</si>
  <si>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</si>
  <si>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</si>
  <si>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</si>
  <si>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</si>
  <si>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</si>
  <si>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</si>
  <si>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</si>
  <si>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</si>
  <si>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</si>
  <si>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</si>
  <si>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</si>
  <si>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</si>
  <si>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</si>
  <si>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</si>
  <si>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</si>
  <si>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</si>
  <si>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</si>
  <si>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</si>
  <si>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</si>
  <si>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</si>
  <si>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</si>
  <si>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</si>
  <si>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</si>
  <si>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</si>
  <si>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</si>
  <si>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</si>
  <si>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</si>
  <si>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</si>
  <si>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</si>
  <si>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</si>
  <si>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</si>
  <si>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</si>
  <si>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</si>
  <si>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</si>
  <si>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</si>
  <si>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</si>
  <si>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</si>
  <si>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</si>
  <si>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</si>
  <si>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</si>
  <si>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</si>
  <si>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</si>
  <si>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</si>
  <si>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</si>
  <si>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</si>
  <si>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</si>
  <si>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</si>
  <si>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</si>
  <si>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</si>
  <si>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</si>
  <si>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</si>
  <si>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</si>
  <si>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</si>
  <si>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</si>
  <si>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</si>
  <si>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</si>
  <si>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</si>
  <si>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</si>
  <si>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</si>
  <si>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</si>
  <si>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</si>
  <si>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</si>
  <si>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</si>
  <si>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</si>
  <si>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</si>
  <si>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</si>
  <si>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</si>
  <si>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</si>
  <si>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</si>
  <si>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</si>
  <si>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</si>
  <si>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</si>
  <si>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</si>
  <si>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</si>
  <si>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</si>
  <si>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</si>
  <si>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</si>
  <si>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</si>
  <si>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</si>
  <si>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</si>
  <si>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</si>
  <si>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</si>
  <si>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</si>
  <si>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</si>
  <si>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</si>
  <si>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</si>
  <si>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</si>
  <si>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</si>
  <si>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</si>
  <si>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</si>
  <si>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</si>
  <si>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</si>
  <si>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</si>
  <si>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</si>
  <si>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</si>
  <si>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</si>
  <si>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</si>
  <si>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</si>
  <si>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</si>
  <si>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</si>
  <si>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</si>
  <si>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</si>
  <si>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</si>
  <si>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</si>
  <si>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</si>
  <si>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</si>
  <si>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</si>
  <si>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</si>
  <si>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</si>
  <si>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</si>
  <si>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</si>
  <si>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</si>
  <si>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</si>
  <si>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</si>
  <si>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</si>
  <si>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</si>
  <si>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</si>
  <si>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</si>
  <si>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</si>
  <si>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</si>
  <si>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</si>
  <si>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</si>
  <si>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</si>
  <si>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</si>
  <si>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</si>
  <si>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</si>
  <si>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</si>
  <si>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</si>
  <si>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</si>
  <si>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</si>
  <si>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</si>
  <si>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</si>
  <si>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</si>
  <si>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</si>
  <si>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</si>
  <si>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</si>
  <si>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</si>
  <si>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</si>
  <si>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</si>
  <si>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</si>
  <si>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</si>
  <si>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</si>
  <si>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</si>
  <si>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</si>
  <si>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</si>
  <si>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</si>
  <si>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</si>
  <si>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</si>
  <si>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</si>
  <si>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</si>
  <si>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</si>
  <si>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</si>
  <si>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</si>
  <si>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</si>
  <si>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</si>
  <si>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</si>
  <si>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</si>
  <si>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</si>
  <si>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</si>
  <si>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</si>
  <si>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</si>
  <si>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</si>
  <si>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</si>
  <si>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</si>
  <si>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</si>
  <si>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</si>
  <si>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</si>
  <si>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</si>
  <si>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</si>
  <si>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</si>
  <si>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</si>
  <si>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</si>
  <si>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</si>
  <si>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</si>
  <si>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</si>
  <si>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</si>
  <si>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</si>
  <si>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</si>
  <si>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</si>
  <si>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</si>
  <si>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</si>
  <si>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</si>
  <si>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</si>
  <si>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</si>
  <si>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</si>
  <si>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</si>
  <si>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</si>
  <si>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</si>
  <si>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</si>
  <si>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</si>
  <si>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</si>
  <si>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</si>
  <si>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</si>
  <si>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</si>
  <si>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</si>
  <si>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</si>
  <si>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</si>
  <si>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</si>
  <si>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</si>
  <si>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</si>
  <si>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</si>
  <si>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</si>
  <si>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</si>
  <si>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</si>
  <si>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</si>
  <si>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</si>
  <si>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</si>
  <si>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</si>
  <si>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</si>
  <si>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</si>
  <si>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</si>
  <si>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</si>
  <si>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</si>
  <si>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</si>
  <si>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</si>
  <si>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</si>
  <si>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</si>
  <si>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</si>
  <si>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</si>
  <si>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</si>
  <si>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</si>
  <si>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</si>
  <si>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</si>
  <si>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</si>
  <si>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</si>
  <si>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</si>
  <si>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</si>
  <si>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</si>
  <si>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</si>
  <si>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</si>
  <si>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</si>
  <si>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</si>
  <si>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</si>
  <si>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</si>
  <si>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</si>
  <si>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</si>
  <si>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</si>
  <si>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</si>
  <si>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</si>
  <si>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</si>
  <si>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</si>
  <si>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</si>
  <si>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</si>
  <si>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</si>
  <si>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</si>
  <si>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</si>
  <si>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</si>
  <si>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</si>
  <si>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</si>
  <si>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</si>
  <si>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</si>
  <si>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</si>
  <si>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</si>
  <si>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</si>
  <si>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</si>
  <si>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</si>
  <si>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</si>
  <si>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</si>
  <si>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</si>
  <si>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</si>
  <si>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</si>
  <si>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</si>
  <si>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</si>
  <si>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</si>
  <si>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</si>
  <si>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</si>
  <si>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</si>
  <si>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</si>
  <si>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</si>
  <si>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</si>
  <si>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</si>
  <si>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</si>
  <si>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</si>
  <si>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</si>
  <si>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</si>
  <si>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</si>
  <si>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</si>
  <si>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</si>
  <si>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</si>
  <si>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</si>
  <si>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</si>
  <si>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</si>
  <si>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</si>
  <si>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</si>
  <si>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</si>
  <si>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</si>
  <si>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</si>
  <si>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</si>
  <si>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</si>
  <si>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</si>
  <si>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</si>
  <si>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</si>
  <si>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</si>
  <si>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</si>
  <si>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</si>
  <si>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</si>
  <si>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</si>
  <si>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</si>
  <si>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</si>
  <si>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</si>
  <si>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</si>
  <si>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</si>
  <si>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</si>
  <si>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</si>
  <si>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</si>
  <si>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</si>
  <si>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</si>
  <si>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</si>
  <si>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</si>
  <si>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</si>
  <si>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</si>
  <si>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</si>
  <si>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</si>
  <si>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</si>
  <si>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</si>
  <si>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</si>
  <si>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</si>
  <si>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</si>
  <si>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</si>
  <si>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</si>
  <si>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</si>
  <si>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</si>
  <si>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</si>
  <si>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</si>
  <si>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</si>
  <si>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</si>
  <si>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</si>
  <si>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</si>
  <si>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</si>
  <si>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</si>
  <si>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</si>
  <si>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</si>
  <si>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</si>
  <si>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</si>
  <si>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</si>
  <si>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</si>
  <si>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</si>
  <si>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</si>
  <si>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</si>
  <si>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</si>
  <si>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</si>
  <si>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</si>
  <si>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</si>
  <si>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</si>
  <si>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</si>
  <si>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</si>
  <si>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</si>
  <si>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</si>
  <si>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</si>
  <si>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</si>
  <si>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</si>
  <si>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</si>
  <si>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</si>
  <si>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</si>
  <si>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</si>
  <si>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</si>
  <si>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</si>
  <si>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</si>
  <si>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</si>
  <si>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</si>
  <si>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</si>
  <si>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</si>
  <si>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</si>
  <si>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</si>
  <si>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</si>
  <si>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</si>
  <si>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</si>
  <si>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</si>
  <si>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</si>
  <si>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</si>
  <si>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</si>
  <si>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</si>
  <si>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</si>
  <si>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</si>
  <si>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</si>
  <si>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</si>
  <si>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</si>
  <si>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</si>
  <si>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</si>
  <si>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</si>
  <si>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</si>
  <si>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</si>
  <si>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</si>
  <si>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</si>
  <si>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</si>
  <si>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</si>
  <si>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</si>
  <si>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</si>
  <si>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</si>
  <si>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</si>
  <si>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</si>
  <si>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</si>
  <si>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</si>
  <si>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</si>
  <si>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</si>
  <si>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</si>
  <si>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</si>
  <si>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</si>
  <si>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</si>
  <si>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</si>
  <si>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</si>
  <si>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</si>
  <si>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</si>
  <si>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</si>
  <si>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</si>
  <si>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</si>
  <si>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</si>
  <si>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</si>
  <si>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</si>
  <si>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</si>
  <si>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</si>
  <si>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</si>
  <si>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</si>
  <si>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</si>
  <si>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</si>
  <si>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</si>
  <si>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</si>
  <si>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</si>
  <si>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</si>
  <si>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</si>
  <si>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</si>
  <si>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</si>
  <si>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</si>
  <si>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</si>
  <si>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</si>
  <si>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</si>
  <si>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</si>
  <si>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</si>
  <si>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</si>
  <si>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</si>
  <si>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</si>
  <si>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</si>
  <si>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</si>
  <si>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</si>
  <si>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</si>
  <si>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</si>
  <si>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</si>
  <si>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</si>
  <si>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</si>
  <si>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</si>
  <si>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</si>
  <si>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</si>
  <si>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</si>
  <si>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</si>
  <si>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</si>
  <si>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</si>
  <si>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</si>
  <si>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</si>
  <si>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</si>
  <si>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</si>
  <si>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</si>
  <si>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</si>
  <si>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</si>
  <si>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</si>
  <si>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</si>
  <si>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</si>
  <si>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</si>
  <si>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</si>
  <si>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</si>
  <si>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</si>
  <si>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</si>
  <si>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</si>
  <si>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</si>
  <si>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</si>
  <si>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</si>
  <si>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</si>
  <si>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</si>
  <si>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</si>
  <si>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</si>
  <si>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</si>
  <si>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</si>
  <si>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</si>
  <si>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</si>
  <si>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</si>
  <si>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</si>
  <si>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</si>
  <si>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</si>
  <si>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</si>
  <si>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</si>
  <si>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</si>
  <si>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</si>
  <si>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</si>
  <si>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</si>
  <si>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</si>
  <si>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</si>
  <si>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</si>
  <si>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</si>
  <si>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</si>
  <si>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</si>
  <si>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</si>
  <si>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</si>
  <si>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</si>
  <si>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</si>
  <si>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</si>
  <si>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</si>
  <si>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</si>
  <si>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</si>
  <si>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</si>
  <si>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</si>
  <si>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</si>
  <si>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</si>
  <si>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</si>
  <si>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</si>
  <si>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</si>
  <si>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</si>
  <si>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</si>
  <si>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</si>
  <si>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</si>
  <si>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</si>
  <si>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</si>
  <si>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</si>
  <si>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</si>
  <si>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</si>
  <si>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</si>
  <si>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</si>
  <si>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</si>
  <si>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</si>
  <si>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</si>
  <si>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</si>
  <si>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</si>
  <si>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</si>
  <si>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</si>
  <si>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</si>
  <si>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</si>
  <si>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</si>
  <si>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</si>
  <si>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</si>
  <si>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</si>
  <si>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</si>
  <si>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</si>
  <si>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</si>
  <si>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</si>
  <si>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</si>
  <si>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</si>
  <si>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</si>
  <si>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</si>
  <si>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</si>
  <si>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</si>
  <si>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</si>
  <si>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</si>
  <si>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</si>
  <si>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</si>
  <si>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</si>
  <si>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</si>
  <si>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</si>
  <si>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</si>
  <si>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</si>
  <si>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</si>
  <si>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</si>
  <si>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</si>
  <si>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</si>
  <si>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</si>
  <si>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</si>
  <si>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</si>
  <si>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</si>
  <si>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</si>
  <si>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</si>
  <si>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</si>
  <si>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</si>
  <si>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</si>
  <si>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</si>
  <si>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</si>
  <si>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</si>
  <si>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</si>
  <si>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</si>
  <si>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</si>
  <si>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</si>
  <si>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</si>
  <si>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</si>
  <si>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</si>
  <si>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</si>
  <si>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</si>
  <si>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</si>
  <si>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</si>
  <si>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</si>
  <si>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</si>
  <si>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</si>
  <si>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</si>
  <si>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</si>
  <si>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</si>
  <si>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</si>
  <si>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</si>
  <si>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</si>
  <si>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</si>
  <si>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</si>
  <si>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</si>
  <si>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</si>
  <si>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</si>
  <si>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</si>
  <si>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</si>
  <si>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</si>
  <si>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</si>
  <si>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</si>
  <si>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</si>
  <si>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</si>
  <si>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</si>
  <si>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</si>
  <si>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</si>
  <si>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</si>
  <si>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</si>
  <si>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</si>
  <si>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</si>
  <si>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</si>
  <si>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</si>
  <si>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</si>
  <si>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</si>
  <si>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</si>
  <si>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</si>
  <si>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</si>
  <si>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</si>
  <si>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</si>
  <si>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</si>
  <si>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</si>
  <si>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</si>
  <si>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</si>
  <si>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</si>
  <si>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</si>
  <si>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</si>
  <si>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</si>
  <si>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</si>
  <si>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</si>
  <si>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</si>
  <si>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</si>
  <si>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</si>
  <si>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</si>
  <si>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TRUYERE</t>
  </si>
  <si>
    <t xml:space="preserve">LA TRUYERE EN AVAL DE LA LIMAGNOLE ET DE LA RIMEIZE</t>
  </si>
  <si>
    <t xml:space="preserve">05097860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</si>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</sst>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11.8095238095238</v>
      </c>
      <c r="N5" s="324"/>
      <c r="O5" s="325" t="s">
        <v>309</v>
      </c>
      <c r="P5" s="326" t="n">
        <v>11.5294117647059</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87</v>
      </c>
      <c r="C7" s="342" t="n">
        <v>13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11.3333333333333</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3399</v>
      </c>
      <c r="B9" s="358" t="n">
        <v>6</v>
      </c>
      <c r="C9" s="359" t="n">
        <v>2.5</v>
      </c>
      <c r="D9" s="360"/>
      <c r="E9" s="360"/>
      <c r="F9" s="361" t="n">
        <f aca="false">($B9*$B$7+$C9*$C$7)/100</f>
        <v>5.545</v>
      </c>
      <c r="G9" s="362"/>
      <c r="H9" s="317"/>
      <c r="I9" s="281"/>
      <c r="J9" s="363"/>
      <c r="K9" s="364"/>
      <c r="L9" s="347"/>
      <c r="M9" s="365"/>
      <c r="N9" s="355" t="s">
        <v>3400</v>
      </c>
      <c r="O9" s="356" t="n">
        <f aca="false">IF(ISERROR(STDEVP(J23:J82))," ",STDEVP(J23:J82))</f>
        <v>2.62466929133727</v>
      </c>
      <c r="P9" s="356" t="n">
        <f aca="false">IF(ISERROR(STDEVP(K23:K82)),"  ",STDEVP(K23:K82))</f>
        <v>0.666666666666667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13</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5</v>
      </c>
      <c r="M15" s="381"/>
      <c r="N15" s="389" t="s">
        <v>3418</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0.692307692307692</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6.435</v>
      </c>
      <c r="C20" s="433" t="n">
        <f aca="false">SUM(C23:C82)</f>
        <v>2.44</v>
      </c>
      <c r="D20" s="434"/>
      <c r="E20" s="435" t="s">
        <v>3425</v>
      </c>
      <c r="F20" s="436" t="n">
        <f aca="false">($B20*$B$7+$C20*$C$7)/100</f>
        <v>5.91565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5.59845</v>
      </c>
      <c r="C21" s="444" t="n">
        <f aca="false">C20*C7/100</f>
        <v>0.3172</v>
      </c>
      <c r="D21" s="445" t="s">
        <v>3428</v>
      </c>
      <c r="E21" s="446"/>
      <c r="F21" s="447" t="n">
        <f aca="false">B21+C21</f>
        <v>5.91565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176</v>
      </c>
      <c r="B23" s="472" t="n">
        <v>0.5</v>
      </c>
      <c r="C23" s="473" t="n">
        <v>0.01</v>
      </c>
      <c r="D23" s="474" t="str">
        <f aca="false">IF(ISERROR(VLOOKUP($A23,'liste reference'!$A$6:$B$1174,2,0)),IF(ISERROR(VLOOKUP($A23,'liste reference'!$B$6:$B$1174,1,0)),"",VLOOKUP($A23,'liste reference'!$B$6:$B$1174,1,0)),VLOOKUP($A23,'liste reference'!$A$6:$B$1174,2,0))</f>
        <v>Gomphoneis sp.</v>
      </c>
      <c r="E23" s="475" t="e">
        <f aca="false">IF(D23="",0,VLOOKUP(D23,D$22:D22,1,0))</f>
        <v>#N/A</v>
      </c>
      <c r="F23" s="476" t="n">
        <f aca="false">IF(AND(OR(A23="",A23="!!!!!!"),B23="",C23=""),"",IF(OR(AND(B23="",C23=""),ISERROR(C23+B23)),"!!!",($B23*$B$7+$C23*$C$7)/100))</f>
        <v>0.4363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Gomphoneis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9382</v>
      </c>
      <c r="R23" s="484" t="n">
        <f aca="false">IF(ISTEXT(H23),"",(B23*$B$7/100)+(C23*$C$7/100))</f>
        <v>0.4363</v>
      </c>
      <c r="S23" s="485" t="n">
        <f aca="false">IF(OR(ISTEXT(H23),R23=0),"",IF(R23&lt;0.1,1,IF(R23&lt;1,2,IF(R23&lt;10,3,IF(R23&lt;50,4,IF(R23&gt;=50,5,""))))))</f>
        <v>2</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GOMSPX</v>
      </c>
      <c r="Z23" s="470" t="n">
        <f aca="false">IF(ISERROR(MATCH(A23,'liste reference'!$A$6:$A$1174,0)),IF(ISERROR(MATCH(A23,'liste reference'!$B$6:$B$1174,0)),"",(MATCH(A23,'liste reference'!$B$6:$B$1174,0))),(MATCH(A23,'liste reference'!$A$6:$A$1174,0)))</f>
        <v>48</v>
      </c>
    </row>
    <row r="24" customFormat="false" ht="12.75" hidden="false" customHeight="false" outlineLevel="0" collapsed="false">
      <c r="A24" s="489" t="s">
        <v>300</v>
      </c>
      <c r="B24" s="490" t="n">
        <v>0.005</v>
      </c>
      <c r="C24" s="491"/>
      <c r="D24" s="492" t="str">
        <f aca="false">IF(ISERROR(VLOOKUP($A24,'liste reference'!$A$6:$B$1174,2,0)),IF(ISERROR(VLOOKUP($A24,'liste reference'!$B$6:$B$1174,1,0)),"",VLOOKUP($A24,'liste reference'!$B$6:$B$1174,1,0)),VLOOKUP($A24,'liste reference'!$A$6:$B$1174,2,0))</f>
        <v>Oedogonium sp.</v>
      </c>
      <c r="E24" s="493" t="e">
        <f aca="false">IF(D24="",0,VLOOKUP(D24,D$22:D23,1,0))</f>
        <v>#N/A</v>
      </c>
      <c r="F24" s="494" t="n">
        <f aca="false">IF(AND(OR(A24="",A24="!!!!!!"),B24="",C24=""),"",IF(OR(AND(B24="",C24=""),ISERROR(C24+B24)),"!!!",($B24*$B$7+$C24*$C$7)/100))</f>
        <v>0.00435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1134</v>
      </c>
      <c r="R24" s="484" t="n">
        <f aca="false">IF(ISTEXT(H24),"",(B24*$B$7/100)+(C24*$C$7/100))</f>
        <v>0.00435</v>
      </c>
      <c r="S24" s="485" t="n">
        <f aca="false">IF(OR(ISTEXT(H24),R24=0),"",IF(R24&lt;0.1,1,IF(R24&lt;1,2,IF(R24&lt;10,3,IF(R24&lt;50,4,IF(R24&gt;=50,5,""))))))</f>
        <v>1</v>
      </c>
      <c r="T24" s="485" t="n">
        <f aca="false">IF(ISERROR(S24*J24),0,S24*J24)</f>
        <v>6</v>
      </c>
      <c r="U24" s="485" t="n">
        <f aca="false">IF(ISERROR(S24*J24*K24),0,S24*J24*K24)</f>
        <v>12</v>
      </c>
      <c r="V24" s="501" t="n">
        <f aca="false">IF(ISERROR(S24*K24),0,S24*K24)</f>
        <v>2</v>
      </c>
      <c r="W24" s="502"/>
      <c r="X24" s="503"/>
      <c r="Y24" s="488" t="str">
        <f aca="false">IF(AND(ISNUMBER(F24),OR(A24="",A24="!!!!!!")),"!!!!!!",IF(A24="new.cod","NEWCOD",IF(AND((Z24=""),ISTEXT(A24),A24&lt;&gt;"!!!!!!"),A24,IF(Z24="","",INDEX('liste reference'!$A$6:$A$1174,Z24)))))</f>
        <v>OEDSPX</v>
      </c>
      <c r="Z24" s="470" t="n">
        <f aca="false">IF(ISERROR(MATCH(A24,'liste reference'!$A$6:$A$1174,0)),IF(ISERROR(MATCH(A24,'liste reference'!$B$6:$B$1174,0)),"",(MATCH(A24,'liste reference'!$B$6:$B$1174,0))),(MATCH(A24,'liste reference'!$A$6:$A$1174,0)))</f>
        <v>85</v>
      </c>
    </row>
    <row r="25" customFormat="false" ht="12.75" hidden="false" customHeight="false" outlineLevel="0" collapsed="false">
      <c r="A25" s="489" t="s">
        <v>306</v>
      </c>
      <c r="B25" s="490" t="n">
        <v>5</v>
      </c>
      <c r="C25" s="491" t="n">
        <v>1</v>
      </c>
      <c r="D25" s="492" t="str">
        <f aca="false">IF(ISERROR(VLOOKUP($A25,'liste reference'!$A$6:$B$1174,2,0)),IF(ISERROR(VLOOKUP($A25,'liste reference'!$B$6:$B$1174,1,0)),"",VLOOKUP($A25,'liste reference'!$B$6:$B$1174,1,0)),VLOOKUP($A25,'liste reference'!$A$6:$B$1174,2,0))</f>
        <v>Paralemanea sp.</v>
      </c>
      <c r="E25" s="493" t="e">
        <f aca="false">IF(D25="",0,VLOOKUP(D25,D$22:D24,1,0))</f>
        <v>#N/A</v>
      </c>
      <c r="F25" s="494" t="n">
        <f aca="false">IF(AND(OR(A25="",A25="!!!!!!"),B25="",C25=""),"",IF(OR(AND(B25="",C25=""),ISERROR(C25+B25)),"!!!",($B25*$B$7+$C25*$C$7)/100))</f>
        <v>4.48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Paralemanea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31566</v>
      </c>
      <c r="R25" s="484" t="n">
        <f aca="false">IF(ISTEXT(H25),"",(B25*$B$7/100)+(C25*$C$7/100))</f>
        <v>4.48</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PAASPX</v>
      </c>
      <c r="Z25" s="470" t="n">
        <f aca="false">IF(ISERROR(MATCH(A25,'liste reference'!$A$6:$A$1174,0)),IF(ISERROR(MATCH(A25,'liste reference'!$B$6:$B$1174,0)),"",(MATCH(A25,'liste reference'!$B$6:$B$1174,0))),(MATCH(A25,'liste reference'!$A$6:$A$1174,0)))</f>
        <v>87</v>
      </c>
    </row>
    <row r="26" customFormat="false" ht="12.75" hidden="false" customHeight="false" outlineLevel="0" collapsed="false">
      <c r="A26" s="489" t="s">
        <v>309</v>
      </c>
      <c r="B26" s="490" t="n">
        <v>0.5</v>
      </c>
      <c r="C26" s="491" t="n">
        <v>0.01</v>
      </c>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0.4363</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0.4363</v>
      </c>
      <c r="S26" s="485" t="n">
        <f aca="false">IF(OR(ISTEXT(H26),R26=0),"",IF(R26&lt;0.1,1,IF(R26&lt;1,2,IF(R26&lt;10,3,IF(R26&lt;50,4,IF(R26&gt;=50,5,""))))))</f>
        <v>2</v>
      </c>
      <c r="T26" s="485" t="n">
        <f aca="false">IF(ISERROR(S26*J26),0,S26*J26)</f>
        <v>26</v>
      </c>
      <c r="U26" s="485" t="n">
        <f aca="false">IF(ISERROR(S26*J26*K26),0,S26*J26*K26)</f>
        <v>52</v>
      </c>
      <c r="V26" s="501" t="n">
        <f aca="false">IF(ISERROR(S26*K26),0,S26*K26)</f>
        <v>4</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c r="C27" s="491" t="n">
        <v>1</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0.13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0.13</v>
      </c>
      <c r="S27" s="485" t="n">
        <f aca="false">IF(OR(ISTEXT(H27),R27=0),"",IF(R27&lt;0.1,1,IF(R27&lt;1,2,IF(R27&lt;10,3,IF(R27&lt;50,4,IF(R27&gt;=50,5,""))))))</f>
        <v>2</v>
      </c>
      <c r="T27" s="485" t="n">
        <f aca="false">IF(ISERROR(S27*J27),0,S27*J27)</f>
        <v>20</v>
      </c>
      <c r="U27" s="485" t="n">
        <f aca="false">IF(ISERROR(S27*J27*K27),0,S27*J27*K27)</f>
        <v>20</v>
      </c>
      <c r="V27" s="501" t="n">
        <f aca="false">IF(ISERROR(S27*K27),0,S27*K27)</f>
        <v>2</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348</v>
      </c>
      <c r="B28" s="490" t="n">
        <v>0.005</v>
      </c>
      <c r="C28" s="491"/>
      <c r="D28" s="492" t="str">
        <f aca="false">IF(ISERROR(VLOOKUP($A28,'liste reference'!$A$6:$B$1174,2,0)),IF(ISERROR(VLOOKUP($A28,'liste reference'!$B$6:$B$1174,1,0)),"",VLOOKUP($A28,'liste reference'!$B$6:$B$1174,1,0)),VLOOKUP($A28,'liste reference'!$A$6:$B$1174,2,0))</f>
        <v>Stigeoclonium sp. (excep. S. tenue)</v>
      </c>
      <c r="E28" s="493" t="e">
        <f aca="false">IF(D28="",0,VLOOKUP(D28,D$22:D27,1,0))</f>
        <v>#N/A</v>
      </c>
      <c r="F28" s="494" t="n">
        <f aca="false">IF(AND(OR(A28="",A28="!!!!!!"),B28="",C28=""),"",IF(OR(AND(B28="",C28=""),ISERROR(C28+B28)),"!!!",($B28*$B$7+$C28*$C$7)/100))</f>
        <v>0.00435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Stigeoclonium sp. (excep. S. tenue)</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1119</v>
      </c>
      <c r="R28" s="484" t="n">
        <f aca="false">IF(ISTEXT(H28),"",(B28*$B$7/100)+(C28*$C$7/100))</f>
        <v>0.00435</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STISPX</v>
      </c>
      <c r="Z28" s="470" t="n">
        <f aca="false">IF(ISERROR(MATCH(A28,'liste reference'!$A$6:$A$1174,0)),IF(ISERROR(MATCH(A28,'liste reference'!$B$6:$B$1174,0)),"",(MATCH(A28,'liste reference'!$B$6:$B$1174,0))),(MATCH(A28,'liste reference'!$A$6:$A$1174,0)))</f>
        <v>104</v>
      </c>
    </row>
    <row r="29" customFormat="false" ht="12.75" hidden="false" customHeight="false" outlineLevel="0" collapsed="false">
      <c r="A29" s="489" t="s">
        <v>899</v>
      </c>
      <c r="B29" s="490" t="n">
        <v>0.005</v>
      </c>
      <c r="C29" s="491"/>
      <c r="D29" s="492" t="str">
        <f aca="false">IF(ISERROR(VLOOKUP($A29,'liste reference'!$A$6:$B$1174,2,0)),IF(ISERROR(VLOOKUP($A29,'liste reference'!$B$6:$B$1174,1,0)),"",VLOOKUP($A29,'liste reference'!$B$6:$B$1174,1,0)),VLOOKUP($A29,'liste reference'!$A$6:$B$1174,2,0))</f>
        <v>Fontinalis squamosa</v>
      </c>
      <c r="E29" s="493" t="e">
        <f aca="false">IF(D29="",0,VLOOKUP(D29,D$22:D28,1,0))</f>
        <v>#N/A</v>
      </c>
      <c r="F29" s="494" t="n">
        <f aca="false">IF(AND(OR(A29="",A29="!!!!!!"),B29="",C29=""),"",IF(OR(AND(B29="",C29=""),ISERROR(C29+B29)),"!!!",($B29*$B$7+$C29*$C$7)/100))</f>
        <v>0.00435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16</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Fontinalis squamosa</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1312</v>
      </c>
      <c r="R29" s="484" t="n">
        <f aca="false">IF(ISTEXT(H29),"",(B29*$B$7/100)+(C29*$C$7/100))</f>
        <v>0.00435</v>
      </c>
      <c r="S29" s="485" t="n">
        <f aca="false">IF(OR(ISTEXT(H29),R29=0),"",IF(R29&lt;0.1,1,IF(R29&lt;1,2,IF(R29&lt;10,3,IF(R29&lt;50,4,IF(R29&gt;=50,5,""))))))</f>
        <v>1</v>
      </c>
      <c r="T29" s="485" t="n">
        <f aca="false">IF(ISERROR(S29*J29),0,S29*J29)</f>
        <v>16</v>
      </c>
      <c r="U29" s="485" t="n">
        <f aca="false">IF(ISERROR(S29*J29*K29),0,S29*J29*K29)</f>
        <v>48</v>
      </c>
      <c r="V29" s="501" t="n">
        <f aca="false">IF(ISERROR(S29*K29),0,S29*K29)</f>
        <v>3</v>
      </c>
      <c r="W29" s="502"/>
      <c r="X29" s="503"/>
      <c r="Y29" s="488" t="str">
        <f aca="false">IF(AND(ISNUMBER(F29),OR(A29="",A29="!!!!!!")),"!!!!!!",IF(A29="new.cod","NEWCOD",IF(AND((Z29=""),ISTEXT(A29),A29&lt;&gt;"!!!!!!"),A29,IF(Z29="","",INDEX('liste reference'!$A$6:$A$1174,Z29)))))</f>
        <v>FONSQU</v>
      </c>
      <c r="Z29" s="470" t="n">
        <f aca="false">IF(ISERROR(MATCH(A29,'liste reference'!$A$6:$A$1174,0)),IF(ISERROR(MATCH(A29,'liste reference'!$B$6:$B$1174,0)),"",(MATCH(A29,'liste reference'!$B$6:$B$1174,0))),(MATCH(A29,'liste reference'!$A$6:$A$1174,0)))</f>
        <v>277</v>
      </c>
    </row>
    <row r="30" customFormat="false" ht="12.75" hidden="false" customHeight="false" outlineLevel="0" collapsed="false">
      <c r="A30" s="489" t="s">
        <v>1122</v>
      </c>
      <c r="B30" s="490" t="n">
        <v>0.01</v>
      </c>
      <c r="C30" s="491"/>
      <c r="D30" s="492" t="str">
        <f aca="false">IF(ISERROR(VLOOKUP($A30,'liste reference'!$A$6:$B$1174,2,0)),IF(ISERROR(VLOOKUP($A30,'liste reference'!$B$6:$B$1174,1,0)),"",VLOOKUP($A30,'liste reference'!$B$6:$B$1174,1,0)),VLOOKUP($A30,'liste reference'!$A$6:$B$1174,2,0))</f>
        <v>Rhynchostegium riparioides</v>
      </c>
      <c r="E30" s="493" t="e">
        <f aca="false">IF(D30="",0,VLOOKUP(D30,D$22:D29,1,0))</f>
        <v>#N/A</v>
      </c>
      <c r="F30" s="494" t="n">
        <f aca="false">IF(AND(OR(A30="",A30="!!!!!!"),B30="",C30=""),"",IF(OR(AND(B30="",C30=""),ISERROR(C30+B30)),"!!!",($B30*$B$7+$C30*$C$7)/100))</f>
        <v>0.0087</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Rhynchostegium riparioides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31691</v>
      </c>
      <c r="R30" s="484" t="n">
        <f aca="false">IF(ISTEXT(H30),"",(B30*$B$7/100)+(C30*$C$7/100))</f>
        <v>0.0087</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RHYRIP</v>
      </c>
      <c r="Z30" s="470" t="n">
        <f aca="false">IF(ISERROR(MATCH(A30,'liste reference'!$A$6:$A$1174,0)),IF(ISERROR(MATCH(A30,'liste reference'!$B$6:$B$1174,0)),"",(MATCH(A30,'liste reference'!$B$6:$B$1174,0))),(MATCH(A30,'liste reference'!$A$6:$A$1174,0)))</f>
        <v>345</v>
      </c>
    </row>
    <row r="31" customFormat="false" ht="12.75" hidden="false" customHeight="false" outlineLevel="0" collapsed="false">
      <c r="A31" s="489" t="s">
        <v>1522</v>
      </c>
      <c r="B31" s="490" t="n">
        <v>0.1</v>
      </c>
      <c r="C31" s="491" t="n">
        <v>0.1</v>
      </c>
      <c r="D31" s="492" t="str">
        <f aca="false">IF(ISERROR(VLOOKUP($A31,'liste reference'!$A$6:$B$1174,2,0)),IF(ISERROR(VLOOKUP($A31,'liste reference'!$B$6:$B$1174,1,0)),"",VLOOKUP($A31,'liste reference'!$B$6:$B$1174,1,0)),VLOOKUP($A31,'liste reference'!$A$6:$B$1174,2,0))</f>
        <v>Lemna minor</v>
      </c>
      <c r="E31" s="493" t="e">
        <f aca="false">IF(D31="",0,VLOOKUP(D31,D$22:D30,1,0))</f>
        <v>#N/A</v>
      </c>
      <c r="F31" s="494" t="n">
        <f aca="false">IF(AND(OR(A31="",A31="!!!!!!"),B31="",C31=""),"",IF(OR(AND(B31="",C31=""),ISERROR(C31+B31)),"!!!",($B31*$B$7+$C31*$C$7)/100))</f>
        <v>0.1</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minor</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1626</v>
      </c>
      <c r="R31" s="484" t="n">
        <f aca="false">IF(ISTEXT(H31),"",(B31*$B$7/100)+(C31*$C$7/100))</f>
        <v>0.1</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LEMMIN</v>
      </c>
      <c r="Z31" s="470" t="n">
        <f aca="false">IF(ISERROR(MATCH(A31,'liste reference'!$A$6:$A$1174,0)),IF(ISERROR(MATCH(A31,'liste reference'!$B$6:$B$1174,0)),"",(MATCH(A31,'liste reference'!$B$6:$B$1174,0))),(MATCH(A31,'liste reference'!$A$6:$A$1174,0)))</f>
        <v>473</v>
      </c>
    </row>
    <row r="32" customFormat="false" ht="12.75" hidden="false" customHeight="false" outlineLevel="0" collapsed="false">
      <c r="A32" s="489" t="s">
        <v>2051</v>
      </c>
      <c r="B32" s="490" t="n">
        <v>0.2</v>
      </c>
      <c r="C32" s="491" t="n">
        <v>0.3</v>
      </c>
      <c r="D32" s="492" t="str">
        <f aca="false">IF(ISERROR(VLOOKUP($A32,'liste reference'!$A$6:$B$1174,2,0)),IF(ISERROR(VLOOKUP($A32,'liste reference'!$B$6:$B$1174,1,0)),"",VLOOKUP($A32,'liste reference'!$B$6:$B$1174,1,0)),VLOOKUP($A32,'liste reference'!$A$6:$B$1174,2,0))</f>
        <v>Eleocharis palustris</v>
      </c>
      <c r="E32" s="493" t="e">
        <f aca="false">IF(D32="",0,VLOOKUP(D32,D$22:D31,1,0))</f>
        <v>#N/A</v>
      </c>
      <c r="F32" s="494" t="n">
        <f aca="false">IF(AND(OR(A32="",A32="!!!!!!"),B32="",C32=""),"",IF(OR(AND(B32="",C32=""),ISERROR(C32+B32)),"!!!",($B32*$B$7+$C32*$C$7)/100))</f>
        <v>0.213</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Eleocharis palustris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1506</v>
      </c>
      <c r="R32" s="484" t="n">
        <f aca="false">IF(ISTEXT(H32),"",(B32*$B$7/100)+(C32*$C$7/100))</f>
        <v>0.213</v>
      </c>
      <c r="S32" s="485" t="n">
        <f aca="false">IF(OR(ISTEXT(H32),R32=0),"",IF(R32&lt;0.1,1,IF(R32&lt;1,2,IF(R32&lt;10,3,IF(R32&lt;50,4,IF(R32&gt;=50,5,""))))))</f>
        <v>2</v>
      </c>
      <c r="T32" s="485" t="n">
        <f aca="false">IF(ISERROR(S32*J32),0,S32*J32)</f>
        <v>24</v>
      </c>
      <c r="U32" s="485" t="n">
        <f aca="false">IF(ISERROR(S32*J32*K32),0,S32*J32*K32)</f>
        <v>48</v>
      </c>
      <c r="V32" s="501" t="n">
        <f aca="false">IF(ISERROR(S32*K32),0,S32*K32)</f>
        <v>4</v>
      </c>
      <c r="W32" s="502"/>
      <c r="X32" s="503"/>
      <c r="Y32" s="488" t="str">
        <f aca="false">IF(AND(ISNUMBER(F32),OR(A32="",A32="!!!!!!")),"!!!!!!",IF(A32="new.cod","NEWCOD",IF(AND((Z32=""),ISTEXT(A32),A32&lt;&gt;"!!!!!!"),A32,IF(Z32="","",INDEX('liste reference'!$A$6:$A$1174,Z32)))))</f>
        <v>ELEPAL</v>
      </c>
      <c r="Z32" s="470" t="n">
        <f aca="false">IF(ISERROR(MATCH(A32,'liste reference'!$A$6:$A$1174,0)),IF(ISERROR(MATCH(A32,'liste reference'!$B$6:$B$1174,0)),"",(MATCH(A32,'liste reference'!$B$6:$B$1174,0))),(MATCH(A32,'liste reference'!$A$6:$A$1174,0)))</f>
        <v>664</v>
      </c>
    </row>
    <row r="33" customFormat="false" ht="12.75" hidden="false" customHeight="false" outlineLevel="0" collapsed="false">
      <c r="A33" s="489" t="s">
        <v>2170</v>
      </c>
      <c r="B33" s="490" t="n">
        <v>0.005</v>
      </c>
      <c r="C33" s="491" t="n">
        <v>0.01</v>
      </c>
      <c r="D33" s="492" t="str">
        <f aca="false">IF(ISERROR(VLOOKUP($A33,'liste reference'!$A$6:$B$1174,2,0)),IF(ISERROR(VLOOKUP($A33,'liste reference'!$B$6:$B$1174,1,0)),"",VLOOKUP($A33,'liste reference'!$B$6:$B$1174,1,0)),VLOOKUP($A33,'liste reference'!$A$6:$B$1174,2,0))</f>
        <v>Phalaris arundinacea</v>
      </c>
      <c r="E33" s="493" t="e">
        <f aca="false">IF(D33="",0,VLOOKUP(D33,D$22:D32,1,0))</f>
        <v>#N/A</v>
      </c>
      <c r="F33" s="494" t="n">
        <f aca="false">IF(AND(OR(A33="",A33="!!!!!!"),B33="",C33=""),"",IF(OR(AND(B33="",C33=""),ISERROR(C33+B33)),"!!!",($B33*$B$7+$C33*$C$7)/100))</f>
        <v>0.00565</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Phalaris arundinacea</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1577</v>
      </c>
      <c r="R33" s="484" t="n">
        <f aca="false">IF(ISTEXT(H33),"",(B33*$B$7/100)+(C33*$C$7/100))</f>
        <v>0.00565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PHAARU</v>
      </c>
      <c r="Z33" s="470" t="n">
        <f aca="false">IF(ISERROR(MATCH(A33,'liste reference'!$A$6:$A$1174,0)),IF(ISERROR(MATCH(A33,'liste reference'!$B$6:$B$1174,0)),"",(MATCH(A33,'liste reference'!$B$6:$B$1174,0))),(MATCH(A33,'liste reference'!$A$6:$A$1174,0)))</f>
        <v>707</v>
      </c>
    </row>
    <row r="34" customFormat="false" ht="12.75" hidden="false" customHeight="false" outlineLevel="0" collapsed="false">
      <c r="A34" s="489" t="s">
        <v>2394</v>
      </c>
      <c r="B34" s="490" t="n">
        <v>0.005</v>
      </c>
      <c r="C34" s="491" t="n">
        <v>0.005</v>
      </c>
      <c r="D34" s="492" t="str">
        <f aca="false">IF(ISERROR(VLOOKUP($A34,'liste reference'!$A$6:$B$1174,2,0)),IF(ISERROR(VLOOKUP($A34,'liste reference'!$B$6:$B$1174,1,0)),"",VLOOKUP($A34,'liste reference'!$B$6:$B$1174,1,0)),VLOOKUP($A34,'liste reference'!$A$6:$B$1174,2,0))</f>
        <v>Carex elata</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PHg</v>
      </c>
      <c r="H34" s="496" t="n">
        <f aca="false">IF(A34="","x",IF(ISERROR(VLOOKUP($A34,'liste reference'!$A$6:$Q$1174,10,0)),IF(ISERROR(VLOOKUP($A34,'liste reference'!$B$6:$Q$1174,9,0)),"x",VLOOKUP($A34,'liste reference'!$B$6:$Q$1174,9,0)),VLOOKUP($A34,'liste reference'!$A$6:$Q$1174,10,0)))</f>
        <v>9</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Carex elata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1475</v>
      </c>
      <c r="R34" s="484" t="n">
        <f aca="false">IF(ISTEXT(H34),"",(B34*$B$7/100)+(C34*$C$7/100))</f>
        <v>0.005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CARELA</v>
      </c>
      <c r="Z34" s="470" t="n">
        <f aca="false">IF(ISERROR(MATCH(A34,'liste reference'!$A$6:$A$1174,0)),IF(ISERROR(MATCH(A34,'liste reference'!$B$6:$B$1174,0)),"",(MATCH(A34,'liste reference'!$B$6:$B$1174,0))),(MATCH(A34,'liste reference'!$A$6:$A$1174,0)))</f>
        <v>790</v>
      </c>
    </row>
    <row r="35" customFormat="false" ht="12.75" hidden="false" customHeight="false" outlineLevel="0" collapsed="false">
      <c r="A35" s="489" t="s">
        <v>3256</v>
      </c>
      <c r="B35" s="490" t="n">
        <v>0.1</v>
      </c>
      <c r="C35" s="491" t="n">
        <v>0.005</v>
      </c>
      <c r="D35" s="492" t="str">
        <f aca="false">IF(ISERROR(VLOOKUP($A35,'liste reference'!$A$6:$B$1174,2,0)),IF(ISERROR(VLOOKUP($A35,'liste reference'!$B$6:$B$1174,1,0)),"",VLOOKUP($A35,'liste reference'!$B$6:$B$1174,1,0)),VLOOKUP($A35,'liste reference'!$A$6:$B$1174,2,0))</f>
        <v>Ranunculus sp.</v>
      </c>
      <c r="E35" s="493" t="e">
        <f aca="false">IF(D35="",0,VLOOKUP(D35,D$22:D34,1,0))</f>
        <v>#N/A</v>
      </c>
      <c r="F35" s="494" t="n">
        <f aca="false">IF(AND(OR(A35="",A35="!!!!!!"),B35="",C35=""),"",IF(OR(AND(B35="",C35=""),ISERROR(C35+B35)),"!!!",($B35*$B$7+$C35*$C$7)/100))</f>
        <v>0.08765</v>
      </c>
      <c r="G35" s="495" t="str">
        <f aca="false">IF(A35="","",IF(ISERROR(VLOOKUP($A35,'liste reference'!$A$6:$Q$1174,9,0)),IF(ISERROR(VLOOKUP($A35,'liste reference'!$B$6:$Q$1174,8,0)),"    -",VLOOKUP($A35,'liste reference'!$B$6:$Q$1174,8,0)),VLOOKUP($A35,'liste reference'!$A$6:$Q$1174,9,0)))</f>
        <v>PHx</v>
      </c>
      <c r="H35" s="496" t="n">
        <f aca="false">IF(A35="","x",IF(ISERROR(VLOOKUP($A35,'liste reference'!$A$6:$Q$1174,10,0)),IF(ISERROR(VLOOKUP($A35,'liste reference'!$B$6:$Q$1174,9,0)),"x",VLOOKUP($A35,'liste reference'!$B$6:$Q$1174,9,0)),VLOOKUP($A35,'liste reference'!$A$6:$Q$1174,10,0)))</f>
        <v>10</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Ranunculus sp.</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1896</v>
      </c>
      <c r="R35" s="484" t="n">
        <f aca="false">IF(ISTEXT(H35),"",(B35*$B$7/100)+(C35*$C$7/100))</f>
        <v>0.08765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RANSPX</v>
      </c>
      <c r="Z35" s="470" t="n">
        <f aca="false">IF(ISERROR(MATCH(A35,'liste reference'!$A$6:$A$1174,0)),IF(ISERROR(MATCH(A35,'liste reference'!$B$6:$B$1174,0)),"",(MATCH(A35,'liste reference'!$B$6:$B$1174,0))),(MATCH(A35,'liste reference'!$A$6:$A$1174,0)))</f>
        <v>1130</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5.91565</v>
      </c>
      <c r="G83" s="424"/>
      <c r="H83" s="424"/>
      <c r="I83" s="424"/>
      <c r="J83" s="424"/>
      <c r="K83" s="424"/>
      <c r="L83" s="424"/>
      <c r="M83" s="485"/>
      <c r="N83" s="485"/>
      <c r="O83" s="485"/>
      <c r="P83" s="485"/>
      <c r="Q83" s="485"/>
      <c r="R83" s="485"/>
      <c r="S83" s="485"/>
      <c r="T83" s="485"/>
      <c r="U83" s="485"/>
      <c r="V83" s="485" t="n">
        <f aca="false">SUM(V23:V82)</f>
        <v>21</v>
      </c>
      <c r="W83" s="485"/>
      <c r="X83" s="523"/>
      <c r="Y83" s="523"/>
      <c r="Z83" s="524"/>
    </row>
    <row r="84" customFormat="false" ht="12.75" hidden="true" customHeight="false" outlineLevel="0" collapsed="false">
      <c r="A84" s="518" t="str">
        <f aca="false">A3</f>
        <v>LA TRUYERE</v>
      </c>
      <c r="B84" s="453" t="str">
        <f aca="false">C3</f>
        <v>LA TRUYERE EN AVAL DE LA LIMAGNOLE ET DE LA RIMEIZE</v>
      </c>
      <c r="C84" s="525" t="str">
        <f aca="false">A4</f>
        <v>(Date)</v>
      </c>
      <c r="D84" s="526" t="n">
        <f aca="false">IF(OR(ISERROR(SUM($U$23:$U$82)/SUM($V$23:$V$82)),F7&lt;&gt;100),-1,SUM($U$23:$U$82)/SUM($V$23:$V$82))</f>
        <v>11.8095238095238</v>
      </c>
      <c r="E84" s="527" t="n">
        <f aca="false">O13</f>
        <v>13</v>
      </c>
      <c r="F84" s="453" t="n">
        <f aca="false">O14</f>
        <v>9</v>
      </c>
      <c r="G84" s="453" t="n">
        <f aca="false">O15</f>
        <v>4</v>
      </c>
      <c r="H84" s="453" t="n">
        <f aca="false">O16</f>
        <v>4</v>
      </c>
      <c r="I84" s="453" t="n">
        <f aca="false">O17</f>
        <v>1</v>
      </c>
      <c r="J84" s="528" t="n">
        <f aca="false">O8</f>
        <v>11.3333333333333</v>
      </c>
      <c r="K84" s="529" t="n">
        <f aca="false">O9</f>
        <v>2.62466929133727</v>
      </c>
      <c r="L84" s="530" t="n">
        <f aca="false">O10</f>
        <v>6</v>
      </c>
      <c r="M84" s="530" t="n">
        <f aca="false">O11</f>
        <v>16</v>
      </c>
      <c r="N84" s="529" t="n">
        <f aca="false">P8</f>
        <v>1.66666666666667</v>
      </c>
      <c r="O84" s="529" t="n">
        <f aca="false">P9</f>
        <v>0.666666666666667</v>
      </c>
      <c r="P84" s="530" t="n">
        <f aca="false">P10</f>
        <v>1</v>
      </c>
      <c r="Q84" s="530" t="n">
        <f aca="false">P11</f>
        <v>3</v>
      </c>
      <c r="R84" s="530" t="n">
        <f aca="false">F21</f>
        <v>5.91565</v>
      </c>
      <c r="S84" s="530" t="n">
        <f aca="false">L11</f>
        <v>0</v>
      </c>
      <c r="T84" s="530" t="n">
        <f aca="false">L12</f>
        <v>6</v>
      </c>
      <c r="U84" s="530" t="n">
        <f aca="false">L13</f>
        <v>2</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26</v>
      </c>
      <c r="U87" s="281"/>
      <c r="V87" s="281"/>
    </row>
    <row r="88" customFormat="false" ht="12.75" hidden="true" customHeight="false" outlineLevel="0" collapsed="false">
      <c r="C88" s="534"/>
      <c r="D88" s="534"/>
      <c r="E88" s="534"/>
      <c r="R88" s="281" t="s">
        <v>3451</v>
      </c>
      <c r="S88" s="281"/>
      <c r="T88" s="536" t="n">
        <f aca="false">VLOOKUP($T$91,($A$23:$U$82),21,0)</f>
        <v>52</v>
      </c>
      <c r="U88" s="281"/>
      <c r="V88" s="281" t="n">
        <f aca="false">COUNTIF(V23:V82,T89)</f>
        <v>2</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11.5294117647059</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3455</v>
      </c>
      <c r="S92" s="281"/>
      <c r="T92" s="281" t="n">
        <f aca="false">MATCH(T89,$V$23:$V$82,0)</f>
        <v>4</v>
      </c>
      <c r="U92" s="281"/>
    </row>
    <row r="93" customFormat="false" ht="12.75" hidden="true" customHeight="false" outlineLevel="0" collapsed="false">
      <c r="C93" s="534"/>
      <c r="D93" s="534"/>
      <c r="E93" s="534"/>
      <c r="R93" s="485" t="s">
        <v>3456</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2017-02-17T15:31:55Z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