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1000" sheetId="6" state="visible" r:id="rId8"/>
    <sheet name="jgjg" sheetId="7" state="hidden" r:id="rId9"/>
    <sheet name="liste codes réf" sheetId="8" state="hidden" r:id="rId10"/>
  </sheets>
  <definedNames>
    <definedName function="false" hidden="false" localSheetId="5" name="_xlnm.Print_Area" vbProcedure="false">'05101000'!$A$1:$Q$82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'05101000'!$A$1:$Q$82</definedName>
    <definedName function="false" hidden="false" localSheetId="5" name="_xlnm__FilterDatabase" vbProcedure="false">'05101000'!$A$1:$C$1415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<sst xmlns="http://schemas.openxmlformats.org/spreadsheetml/2006/main" count="8836" uniqueCount="3497">
  <si>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</si>
  <si>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</si>
  <si>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</si>
  <si>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</si>
  <si>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</si>
  <si>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</si>
  <si>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</si>
  <si>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</si>
  <si>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</si>
  <si>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</si>
  <si>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</si>
  <si>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</si>
  <si>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</si>
  <si>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</si>
  <si>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</si>
  <si>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</si>
  <si>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</si>
  <si>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</si>
  <si>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</si>
  <si>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</si>
  <si>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</si>
  <si>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</si>
  <si>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</si>
  <si>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</si>
  <si>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</si>
  <si>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</si>
  <si>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</si>
  <si>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</si>
  <si>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</si>
  <si>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</si>
  <si>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</si>
  <si>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</si>
  <si>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</si>
  <si>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</si>
  <si>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</si>
  <si>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</si>
  <si>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</si>
  <si>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</si>
  <si>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</si>
  <si>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</si>
  <si>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</si>
  <si>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</si>
  <si>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</si>
  <si>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</si>
  <si>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</si>
  <si>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</si>
  <si>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</si>
  <si>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</si>
  <si>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</si>
  <si>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</si>
  <si>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</si>
  <si>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</si>
  <si>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</si>
  <si>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</si>
  <si>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</si>
  <si>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</si>
  <si>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</si>
  <si>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</si>
  <si>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</si>
  <si>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</si>
  <si>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</si>
  <si>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</si>
  <si>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</si>
  <si>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</si>
  <si>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</si>
  <si>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</si>
  <si>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</si>
  <si>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</si>
  <si>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</si>
  <si>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</si>
  <si>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</si>
  <si>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</si>
  <si>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</si>
  <si>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</si>
  <si>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</si>
  <si>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</si>
  <si>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</si>
  <si>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</si>
  <si>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</si>
  <si>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</si>
  <si>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</si>
  <si>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</si>
  <si>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</si>
  <si>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</si>
  <si>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</si>
  <si>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</si>
  <si>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</si>
  <si>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</si>
  <si>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</si>
  <si>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</si>
  <si>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</si>
  <si>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</si>
  <si>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</si>
  <si>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</si>
  <si>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</si>
  <si>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</si>
  <si>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</si>
  <si>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</si>
  <si>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</si>
  <si>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</si>
  <si>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</si>
  <si>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</si>
  <si>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</si>
  <si>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</si>
  <si>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</si>
  <si>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</si>
  <si>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</si>
  <si>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</si>
  <si>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</si>
  <si>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</si>
  <si>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</si>
  <si>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</si>
  <si>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</si>
  <si>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</si>
  <si>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</si>
  <si>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</si>
  <si>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</si>
  <si>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</si>
  <si>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</si>
  <si>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</si>
  <si>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</si>
  <si>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</si>
  <si>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</si>
  <si>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</si>
  <si>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</si>
  <si>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</si>
  <si>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</si>
  <si>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</si>
  <si>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</si>
  <si>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</si>
  <si>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</si>
  <si>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</si>
  <si>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</si>
  <si>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</si>
  <si>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</si>
  <si>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</si>
  <si>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</si>
  <si>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</si>
  <si>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</si>
  <si>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</si>
  <si>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</si>
  <si>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</si>
  <si>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</si>
  <si>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</si>
  <si>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</si>
  <si>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</si>
  <si>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</si>
  <si>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</si>
  <si>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</si>
  <si>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</si>
  <si>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</si>
  <si>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</si>
  <si>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</si>
  <si>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</si>
  <si>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</si>
  <si>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</si>
  <si>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</si>
  <si>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</si>
  <si>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</si>
  <si>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</si>
  <si>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</si>
  <si>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</si>
  <si>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</si>
  <si>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</si>
  <si>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</si>
  <si>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</si>
  <si>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</si>
  <si>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</si>
  <si>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</si>
  <si>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</si>
  <si>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</si>
  <si>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</si>
  <si>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</si>
  <si>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</si>
  <si>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</si>
  <si>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</si>
  <si>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</si>
  <si>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</si>
  <si>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</si>
  <si>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</si>
  <si>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</si>
  <si>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</si>
  <si>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</si>
  <si>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</si>
  <si>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</si>
  <si>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</si>
  <si>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</si>
  <si>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</si>
  <si>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</si>
  <si>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</si>
  <si>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</si>
  <si>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</si>
  <si>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</si>
  <si>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</si>
  <si>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</si>
  <si>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</si>
  <si>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</si>
  <si>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</si>
  <si>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</si>
  <si>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</si>
  <si>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</si>
  <si>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</si>
  <si>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</si>
  <si>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</si>
  <si>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</si>
  <si>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</si>
  <si>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</si>
  <si>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</si>
  <si>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</si>
  <si>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</si>
  <si>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</si>
  <si>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</si>
  <si>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</si>
  <si>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</si>
  <si>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</si>
  <si>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</si>
  <si>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</si>
  <si>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</si>
  <si>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</si>
  <si>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</si>
  <si>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</si>
  <si>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</si>
  <si>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</si>
  <si>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</si>
  <si>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</si>
  <si>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</si>
  <si>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</si>
  <si>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</si>
  <si>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</si>
  <si>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</si>
  <si>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</si>
  <si>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</si>
  <si>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</si>
  <si>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</si>
  <si>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</si>
  <si>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</si>
  <si>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</si>
  <si>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</si>
  <si>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</si>
  <si>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</si>
  <si>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</si>
  <si>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</si>
  <si>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</si>
  <si>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</si>
  <si>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</si>
  <si>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</si>
  <si>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</si>
  <si>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</si>
  <si>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</si>
  <si>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</si>
  <si>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</si>
  <si>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</si>
  <si>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</si>
  <si>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</si>
  <si>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</si>
  <si>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</si>
  <si>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</si>
  <si>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</si>
  <si>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</si>
  <si>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</si>
  <si>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</si>
  <si>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</si>
  <si>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</si>
  <si>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</si>
  <si>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</si>
  <si>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</si>
  <si>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</si>
  <si>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</si>
  <si>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</si>
  <si>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</si>
  <si>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</si>
  <si>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</si>
  <si>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</si>
  <si>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</si>
  <si>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</si>
  <si>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</si>
  <si>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</si>
  <si>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</si>
  <si>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</si>
  <si>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</si>
  <si>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</si>
  <si>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</si>
  <si>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</si>
  <si>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</si>
  <si>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</si>
  <si>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</si>
  <si>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</si>
  <si>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</si>
  <si>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</si>
  <si>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</si>
  <si>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</si>
  <si>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</si>
  <si>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</si>
  <si>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</si>
  <si>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</si>
  <si>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</si>
  <si>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</si>
  <si>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</si>
  <si>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</si>
  <si>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</si>
  <si>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</si>
  <si>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</si>
  <si>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</si>
  <si>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</si>
  <si>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</si>
  <si>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</si>
  <si>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</si>
  <si>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</si>
  <si>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</si>
  <si>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</si>
  <si>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</si>
  <si>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</si>
  <si>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</si>
  <si>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</si>
  <si>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</si>
  <si>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</si>
  <si>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</si>
  <si>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</si>
  <si>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</si>
  <si>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</si>
  <si>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</si>
  <si>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</si>
  <si>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</si>
  <si>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</si>
  <si>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</si>
  <si>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</si>
  <si>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</si>
  <si>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</si>
  <si>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</si>
  <si>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</si>
  <si>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</si>
  <si>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</si>
  <si>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</si>
  <si>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</si>
  <si>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</si>
  <si>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</si>
  <si>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</si>
  <si>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</si>
  <si>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</si>
  <si>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</si>
  <si>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</si>
  <si>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</si>
  <si>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</si>
  <si>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</si>
  <si>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</si>
  <si>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</si>
  <si>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</si>
  <si>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</si>
  <si>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</si>
  <si>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</si>
  <si>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</si>
  <si>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</si>
  <si>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</si>
  <si>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</si>
  <si>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</si>
  <si>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</si>
  <si>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</si>
  <si>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</si>
  <si>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</si>
  <si>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</si>
  <si>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</si>
  <si>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</si>
  <si>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</si>
  <si>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</si>
  <si>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</si>
  <si>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</si>
  <si>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</si>
  <si>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</si>
  <si>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</si>
  <si>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</si>
  <si>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</si>
  <si>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</si>
  <si>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</si>
  <si>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</si>
  <si>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</si>
  <si>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</si>
  <si>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</si>
  <si>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</si>
  <si>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</si>
  <si>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</si>
  <si>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</si>
  <si>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</si>
  <si>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</si>
  <si>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</si>
  <si>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</si>
  <si>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</si>
  <si>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</si>
  <si>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</si>
  <si>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</si>
  <si>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</si>
  <si>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</si>
  <si>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</si>
  <si>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</si>
  <si>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</si>
  <si>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</si>
  <si>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</si>
  <si>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</si>
  <si>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</si>
  <si>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</si>
  <si>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</si>
  <si>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</si>
  <si>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</si>
  <si>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</si>
  <si>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</si>
  <si>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</si>
  <si>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</si>
  <si>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</si>
  <si>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</si>
  <si>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</si>
  <si>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</si>
  <si>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</si>
  <si>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</si>
  <si>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</si>
  <si>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</si>
  <si>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</si>
  <si>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</si>
  <si>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</si>
  <si>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</si>
  <si>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</si>
  <si>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</si>
  <si>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</si>
  <si>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</si>
  <si>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</si>
  <si>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</si>
  <si>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</si>
  <si>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</si>
  <si>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</si>
  <si>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</si>
  <si>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</si>
  <si>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</si>
  <si>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</si>
  <si>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</si>
  <si>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</si>
  <si>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</si>
  <si>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</si>
  <si>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</si>
  <si>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</si>
  <si>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</si>
  <si>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</si>
  <si>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</si>
  <si>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</si>
  <si>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</si>
  <si>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</si>
  <si>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</si>
  <si>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</si>
  <si>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</si>
  <si>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</si>
  <si>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</si>
  <si>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</si>
  <si>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</si>
  <si>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</si>
  <si>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</si>
  <si>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</si>
  <si>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</si>
  <si>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</si>
  <si>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</si>
  <si>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</si>
  <si>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</si>
  <si>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</si>
  <si>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</si>
  <si>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</si>
  <si>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</si>
  <si>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</si>
  <si>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</si>
  <si>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</si>
  <si>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</si>
  <si>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</si>
  <si>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</si>
  <si>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</si>
  <si>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</si>
  <si>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</si>
  <si>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</si>
  <si>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</si>
  <si>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</si>
  <si>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</si>
  <si>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</si>
  <si>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</si>
  <si>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</si>
  <si>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</si>
  <si>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</si>
  <si>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</si>
  <si>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</si>
  <si>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</si>
  <si>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</si>
  <si>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</si>
  <si>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</si>
  <si>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</si>
  <si>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</si>
  <si>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</si>
  <si>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</si>
  <si>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</si>
  <si>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</si>
  <si>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</si>
  <si>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</si>
  <si>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</si>
  <si>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</si>
  <si>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</si>
  <si>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</si>
  <si>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</si>
  <si>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</si>
  <si>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</si>
  <si>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</si>
  <si>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</si>
  <si>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</si>
  <si>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</si>
  <si>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</si>
  <si>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</si>
  <si>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</si>
  <si>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</si>
  <si>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</si>
  <si>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</si>
  <si>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</si>
  <si>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</si>
  <si>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</si>
  <si>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</si>
  <si>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</si>
  <si>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</si>
  <si>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</si>
  <si>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</si>
  <si>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</si>
  <si>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</si>
  <si>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</si>
  <si>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</si>
  <si>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</si>
  <si>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</si>
  <si>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</si>
  <si>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</si>
  <si>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</si>
  <si>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</si>
  <si>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</si>
  <si>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</si>
  <si>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</si>
  <si>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</si>
  <si>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</si>
  <si>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</si>
  <si>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</si>
  <si>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</si>
  <si>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</si>
  <si>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</si>
  <si>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</si>
  <si>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</si>
  <si>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</si>
  <si>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</si>
  <si>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</si>
  <si>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</si>
  <si>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</si>
  <si>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</si>
  <si>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</si>
  <si>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</si>
  <si>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</si>
  <si>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</si>
  <si>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</si>
  <si>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</si>
  <si>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</si>
  <si>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</si>
  <si>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</si>
  <si>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</si>
  <si>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</si>
  <si>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</si>
  <si>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</si>
  <si>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</si>
  <si>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</si>
  <si>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</si>
  <si>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</si>
  <si>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</si>
  <si>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</si>
  <si>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</si>
  <si>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</si>
  <si>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</si>
  <si>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</si>
  <si>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</si>
  <si>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</si>
  <si>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</si>
  <si>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</si>
  <si>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</si>
  <si>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</si>
  <si>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</si>
  <si>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</si>
  <si>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</si>
  <si>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</si>
  <si>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</si>
  <si>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</si>
  <si>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</si>
  <si>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</si>
  <si>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</si>
  <si>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</si>
  <si>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</si>
  <si>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</si>
  <si>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</si>
  <si>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</si>
  <si>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</si>
  <si>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</si>
  <si>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</si>
  <si>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</si>
  <si>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</si>
  <si>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</si>
  <si>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</si>
  <si>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</si>
  <si>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</si>
  <si>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</si>
  <si>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</si>
  <si>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</si>
  <si>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</si>
  <si>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</si>
  <si>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</si>
  <si>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</si>
  <si>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</si>
  <si>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</si>
  <si>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</si>
  <si>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</si>
  <si>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</si>
  <si>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</si>
  <si>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</si>
  <si>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</si>
  <si>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</si>
  <si>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</si>
  <si>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</si>
  <si>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</si>
  <si>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</si>
  <si>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</si>
  <si>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</si>
  <si>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</si>
  <si>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</si>
  <si>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</si>
  <si>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</si>
  <si>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</si>
  <si>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</si>
  <si>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</si>
  <si>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</si>
  <si>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</si>
  <si>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</si>
  <si>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</si>
  <si>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</si>
  <si>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</si>
  <si>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</si>
  <si>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</si>
  <si>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</si>
  <si>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</si>
  <si>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</si>
  <si>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</si>
  <si>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</si>
  <si>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</si>
  <si>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</si>
  <si>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</si>
  <si>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</si>
  <si>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</si>
  <si>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</si>
  <si>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</si>
  <si>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</si>
  <si>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</si>
  <si>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</si>
  <si>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</si>
  <si>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</si>
  <si>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</si>
  <si>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</si>
  <si>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</si>
  <si>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</si>
  <si>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</si>
  <si>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</si>
  <si>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</si>
  <si>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</si>
  <si>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</si>
  <si>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</si>
  <si>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</si>
  <si>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</si>
  <si>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</si>
  <si>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</si>
  <si>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</si>
  <si>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</si>
  <si>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</si>
  <si>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</si>
  <si>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</si>
  <si>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</si>
  <si>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</si>
  <si>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</si>
  <si>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</si>
  <si>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</si>
  <si>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</si>
  <si>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</si>
  <si>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</si>
  <si>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</si>
  <si>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</si>
  <si>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</si>
  <si>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</si>
  <si>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</si>
  <si>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</si>
  <si>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</si>
  <si>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</si>
  <si>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</si>
  <si>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</si>
  <si>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</si>
  <si>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</si>
  <si>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</si>
  <si>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</si>
  <si>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</si>
  <si>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</si>
  <si>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</si>
  <si>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</si>
  <si>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</si>
  <si>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</si>
  <si>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</si>
  <si>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</si>
  <si>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</si>
  <si>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</si>
  <si>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</si>
  <si>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</si>
  <si>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</si>
  <si>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</si>
  <si>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</si>
  <si>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</si>
  <si>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</si>
  <si>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</si>
  <si>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</si>
  <si>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</si>
  <si>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</si>
  <si>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</si>
  <si>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</si>
  <si>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</si>
  <si>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</si>
  <si>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</si>
  <si>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</si>
  <si>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</si>
  <si>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</si>
  <si>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</si>
  <si>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</si>
  <si>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</si>
  <si>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</si>
  <si>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</si>
  <si>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</si>
  <si>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</si>
  <si>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</si>
  <si>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</si>
  <si>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</si>
  <si>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</si>
  <si>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</si>
  <si>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</si>
  <si>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</si>
  <si>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</si>
  <si>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</si>
  <si>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</si>
  <si>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</si>
  <si>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</si>
  <si>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</si>
  <si>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</si>
  <si>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</si>
  <si>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</si>
  <si>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</si>
  <si>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</si>
  <si>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</si>
  <si>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</si>
  <si>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</si>
  <si>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</si>
  <si>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</si>
  <si>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</si>
  <si>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</si>
  <si>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</si>
  <si>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</si>
  <si>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</si>
  <si>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</si>
  <si>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</si>
  <si>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</si>
  <si>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</si>
  <si>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</si>
  <si>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</si>
  <si>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</si>
  <si>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</si>
  <si>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</si>
  <si>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</si>
  <si>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</si>
  <si>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</si>
  <si>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</si>
  <si>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</si>
  <si>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</si>
  <si>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</si>
  <si>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</si>
  <si>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</si>
  <si>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</si>
  <si>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</si>
  <si>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</si>
  <si>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</si>
  <si>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</si>
  <si>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</si>
  <si>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</si>
  <si>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</si>
  <si>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</si>
  <si>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</si>
  <si>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</si>
  <si>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</si>
  <si>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</si>
  <si>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</si>
  <si>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</si>
  <si>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</si>
  <si>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</si>
  <si>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</si>
  <si>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</si>
  <si>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</si>
  <si>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</si>
  <si>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</si>
  <si>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</si>
  <si>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</si>
  <si>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</si>
  <si>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</si>
  <si>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</si>
  <si>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</si>
  <si>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</si>
  <si>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</si>
  <si>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</si>
  <si>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</si>
  <si>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</si>
  <si>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</si>
  <si>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</si>
  <si>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</si>
  <si>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</si>
  <si>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</si>
  <si>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</si>
  <si>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</si>
  <si>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</si>
  <si>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</si>
  <si>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</si>
  <si>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</si>
  <si>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</si>
  <si>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</si>
  <si>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</si>
  <si>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</si>
  <si>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</si>
  <si>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</si>
  <si>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</si>
  <si>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</si>
  <si>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</si>
  <si>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</si>
  <si>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</si>
  <si>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</si>
  <si>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</si>
  <si>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</si>
  <si>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</si>
  <si>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</si>
  <si>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</si>
  <si>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</si>
  <si>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</si>
  <si>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</si>
  <si>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</si>
  <si>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</si>
  <si>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</si>
  <si>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</si>
  <si>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</si>
  <si>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</si>
  <si>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</si>
  <si>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</si>
  <si>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</si>
  <si>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</si>
  <si>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</si>
  <si>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</si>
  <si>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</si>
  <si>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</si>
  <si>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</si>
  <si>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</si>
  <si>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</si>
  <si>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</si>
  <si>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</si>
  <si>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</si>
  <si>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</si>
  <si>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</si>
  <si>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</si>
  <si>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</si>
  <si>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</si>
  <si>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</si>
  <si>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</si>
  <si>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</si>
  <si>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</si>
  <si>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</si>
  <si>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</si>
  <si>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</si>
  <si>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</si>
  <si>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</si>
  <si>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</si>
  <si>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</si>
  <si>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</si>
  <si>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</si>
  <si>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</si>
  <si>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</si>
  <si>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</si>
  <si>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</si>
  <si>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</si>
  <si>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</si>
  <si>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</si>
  <si>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</si>
  <si>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</si>
  <si>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</si>
  <si>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</si>
  <si>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</si>
  <si>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</si>
  <si>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</si>
  <si>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</si>
  <si>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</si>
  <si>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</si>
  <si>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</si>
  <si>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</si>
  <si>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</si>
  <si>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</si>
  <si>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</si>
  <si>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</si>
  <si>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</si>
  <si>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</si>
  <si>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</si>
  <si>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</si>
  <si>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</si>
  <si>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</si>
  <si>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</si>
  <si>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</si>
  <si>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</si>
  <si>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</si>
  <si>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</si>
  <si>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</si>
  <si>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</si>
  <si>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</si>
  <si>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</si>
  <si>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</si>
  <si>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</si>
  <si>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</si>
  <si>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</si>
  <si>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</si>
  <si>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</si>
  <si>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</si>
  <si>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</si>
  <si>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</si>
  <si>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</si>
  <si>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</si>
  <si>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</si>
  <si>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</si>
  <si>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</si>
  <si>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</si>
  <si>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</si>
  <si>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</si>
  <si>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</si>
  <si>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</si>
  <si>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</si>
  <si>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</si>
  <si>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</si>
  <si>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</si>
  <si>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</si>
  <si>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</si>
  <si>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</si>
  <si>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</si>
  <si>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</si>
  <si>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</si>
  <si>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</si>
  <si>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</si>
  <si>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</si>
  <si>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</si>
  <si>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</si>
  <si>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</si>
  <si>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</si>
  <si>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</si>
  <si>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</si>
  <si>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</si>
  <si>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</si>
  <si>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</si>
  <si>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</si>
  <si>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</si>
  <si>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</si>
  <si>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</si>
  <si>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</si>
  <si>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</si>
  <si>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</si>
  <si>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</si>
  <si>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</si>
  <si>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</si>
  <si>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</si>
  <si>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</si>
  <si>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</si>
  <si>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</si>
  <si>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</si>
  <si>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</si>
  <si>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</si>
  <si>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</si>
  <si>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</si>
  <si>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</si>
  <si>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</si>
  <si>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</si>
  <si>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</si>
  <si>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</si>
  <si>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</si>
  <si>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</si>
  <si>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</si>
  <si>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</si>
  <si>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</si>
  <si>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</si>
  <si>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</si>
  <si>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</si>
  <si>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</si>
  <si>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</si>
  <si>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</si>
  <si>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</si>
  <si>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</si>
  <si>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</si>
  <si>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</si>
  <si>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</si>
  <si>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</si>
  <si>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</si>
  <si>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</si>
  <si>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</si>
  <si>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</si>
  <si>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</si>
  <si>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</si>
  <si>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</si>
  <si>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</si>
  <si>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</si>
  <si>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</si>
  <si>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</si>
  <si>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</si>
  <si>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</si>
  <si>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</si>
  <si>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</si>
  <si>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</si>
  <si>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</si>
  <si>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</si>
  <si>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</si>
  <si>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</si>
  <si>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</si>
  <si>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</si>
  <si>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</si>
  <si>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</si>
  <si>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</si>
  <si>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</si>
  <si>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</si>
  <si>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</si>
  <si>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</si>
  <si>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</si>
  <si>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</si>
  <si>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</si>
  <si>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</si>
  <si>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</si>
  <si>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</si>
  <si>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</si>
  <si>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</si>
  <si>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</si>
  <si>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</si>
  <si>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</si>
  <si>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</si>
  <si>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</si>
  <si>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</si>
  <si>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</si>
  <si>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</si>
  <si>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</si>
  <si>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</si>
  <si>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</si>
  <si>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</si>
  <si>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</si>
  <si>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</si>
  <si>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</si>
  <si>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</si>
  <si>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</si>
  <si>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</si>
  <si>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</si>
  <si>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</si>
  <si>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</si>
  <si>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</si>
  <si>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</si>
  <si>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</si>
  <si>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</si>
  <si>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</si>
  <si>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</si>
  <si>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</si>
  <si>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</si>
  <si>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</si>
  <si>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</si>
  <si>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</si>
  <si>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</si>
  <si>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</si>
  <si>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</si>
  <si>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</si>
  <si>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</si>
  <si>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</si>
  <si>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</si>
  <si>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</si>
  <si>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</si>
  <si>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</si>
  <si>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</si>
  <si>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</si>
  <si>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</si>
  <si>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</si>
  <si>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</si>
  <si>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</si>
  <si>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</si>
  <si>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</si>
  <si>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</si>
  <si>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</si>
  <si>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</si>
  <si>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</si>
  <si>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</si>
  <si>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</si>
  <si>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</si>
  <si>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</si>
  <si>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</si>
  <si>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</si>
  <si>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</si>
  <si>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</si>
  <si>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</si>
  <si>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</si>
  <si>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</si>
  <si>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</si>
  <si>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</si>
  <si>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</si>
  <si>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</si>
  <si>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</si>
  <si>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</si>
  <si>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</si>
  <si>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</si>
  <si>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</si>
  <si>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</si>
  <si>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</si>
  <si>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</si>
  <si>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</si>
  <si>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</si>
  <si>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</si>
  <si>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</si>
  <si>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</si>
  <si>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</si>
  <si>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</si>
  <si>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</si>
  <si>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</si>
  <si>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</si>
  <si>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</si>
  <si>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</si>
  <si>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</si>
  <si>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</si>
  <si>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</si>
  <si>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</si>
  <si>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</si>
  <si>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</si>
  <si>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</si>
  <si>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</si>
  <si>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</si>
  <si>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</si>
  <si>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</si>
  <si>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</si>
  <si>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</si>
  <si>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</si>
  <si>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</si>
  <si>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</si>
  <si>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</si>
  <si>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</si>
  <si>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</si>
  <si>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</si>
  <si>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</si>
  <si>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</si>
  <si>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</si>
  <si>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</si>
  <si>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</si>
  <si>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</si>
  <si>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</si>
  <si>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</si>
  <si>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</si>
  <si>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</si>
  <si>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</si>
  <si>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</si>
  <si>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</si>
  <si>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</si>
  <si>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</si>
  <si>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</si>
  <si>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</si>
  <si>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</si>
  <si>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</si>
  <si>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</si>
  <si>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</si>
  <si>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</si>
  <si>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</si>
  <si>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</si>
  <si>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</si>
  <si>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</si>
  <si>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</si>
  <si>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</si>
  <si>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</si>
  <si>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</si>
  <si>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</si>
  <si>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</si>
  <si>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</si>
  <si>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</si>
  <si>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</si>
  <si>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</si>
  <si>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</si>
  <si>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</si>
  <si>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</si>
  <si>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</si>
  <si>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</si>
  <si>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</si>
  <si>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</si>
  <si>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</si>
  <si>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</si>
  <si>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</si>
  <si>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</si>
  <si>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</si>
  <si>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</si>
  <si>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</si>
  <si>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</si>
  <si>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</si>
  <si>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</si>
  <si>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</si>
  <si>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</si>
  <si>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</si>
  <si>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</si>
  <si>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</si>
  <si>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</si>
  <si>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</si>
  <si>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</si>
  <si>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</si>
  <si>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</si>
  <si>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</si>
  <si>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</si>
  <si>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</si>
  <si>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</si>
  <si>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</si>
  <si>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</si>
  <si>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</si>
  <si>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</si>
  <si>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</si>
  <si>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</si>
  <si>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</si>
  <si>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</si>
  <si>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</si>
  <si>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</si>
  <si>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</si>
  <si>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</si>
  <si>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</si>
  <si>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</si>
  <si>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</si>
  <si>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</si>
  <si>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</si>
  <si>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</si>
  <si>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</si>
  <si>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</si>
  <si>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</si>
  <si>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</si>
  <si>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</si>
  <si>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</si>
  <si>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</si>
  <si>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</si>
  <si>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</si>
  <si>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</si>
  <si>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</si>
  <si>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</si>
  <si>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</si>
  <si>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</si>
  <si>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</si>
  <si>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</si>
  <si>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</si>
  <si>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</si>
  <si>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</si>
  <si>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</si>
  <si>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</si>
  <si>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</si>
  <si>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</si>
  <si>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</si>
  <si>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</si>
  <si>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</si>
  <si>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</si>
  <si>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</si>
  <si>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</si>
  <si>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</si>
  <si>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</si>
  <si>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</si>
  <si>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</si>
  <si>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</si>
  <si>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</si>
  <si>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</si>
  <si>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</si>
  <si>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</si>
  <si>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</si>
  <si>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</si>
  <si>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</si>
  <si>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</si>
  <si>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</si>
  <si>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</si>
  <si>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</si>
  <si>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</si>
  <si>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</si>
  <si>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</si>
  <si>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</si>
  <si>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</si>
  <si>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</si>
  <si>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</si>
  <si>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</si>
  <si>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</si>
  <si>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</si>
  <si>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</si>
  <si>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</si>
  <si>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</si>
  <si>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</si>
  <si>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</si>
  <si>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</si>
  <si>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</si>
  <si>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</si>
  <si>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</si>
  <si>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</si>
  <si>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</si>
  <si>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</si>
  <si>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</si>
  <si>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</si>
  <si>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</si>
  <si>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</si>
  <si>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</si>
  <si>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</si>
  <si>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</si>
  <si>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</si>
  <si>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</si>
  <si>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</si>
  <si>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</si>
  <si>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</si>
  <si>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</si>
  <si>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</si>
  <si>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</si>
  <si>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</si>
  <si>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</si>
  <si>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</si>
  <si>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</si>
  <si>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</si>
  <si>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</si>
  <si>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</si>
  <si>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</si>
  <si>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</si>
  <si>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</si>
  <si>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</si>
  <si>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</si>
  <si>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</si>
  <si>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</si>
  <si>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</si>
  <si>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</si>
  <si>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</si>
  <si>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</si>
  <si>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</si>
  <si>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</si>
  <si>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</si>
  <si>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</si>
  <si>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</si>
  <si>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</si>
  <si>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</si>
  <si>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</si>
  <si>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</si>
  <si>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</si>
  <si>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</si>
  <si>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</si>
  <si>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</si>
  <si>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</si>
  <si>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</si>
  <si>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</si>
  <si>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</si>
  <si>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</si>
  <si>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</si>
  <si>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</si>
  <si>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</si>
  <si>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</si>
  <si>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</si>
  <si>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</si>
  <si>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</si>
  <si>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</si>
  <si>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</si>
  <si>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</si>
  <si>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</si>
  <si>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</si>
  <si>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</si>
  <si>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</si>
  <si>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</si>
  <si>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</si>
  <si>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</si>
  <si>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</si>
  <si>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</si>
  <si>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</si>
  <si>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</si>
  <si>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</si>
  <si>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</si>
  <si>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</si>
  <si>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</si>
  <si>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</si>
  <si>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</si>
  <si>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</si>
  <si>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</si>
  <si>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</si>
  <si>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</si>
  <si>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</si>
  <si>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</si>
  <si>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</si>
  <si>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</si>
  <si>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</si>
  <si>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</si>
  <si>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</si>
  <si>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</si>
  <si>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</si>
  <si>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</si>
  <si>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</si>
  <si>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</si>
  <si>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</si>
  <si>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</si>
  <si>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</si>
  <si>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</si>
  <si>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</si>
  <si>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</si>
  <si>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</si>
  <si>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</si>
  <si>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</si>
  <si>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</si>
  <si>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</si>
  <si>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</si>
  <si>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</si>
  <si>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</si>
  <si>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</si>
  <si>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</si>
  <si>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</si>
  <si>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</si>
  <si>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</si>
  <si>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</si>
  <si>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</si>
  <si>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</si>
  <si>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</si>
  <si>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</si>
  <si>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</si>
  <si>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</si>
  <si>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</si>
  <si>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</si>
  <si>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</si>
  <si>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</si>
  <si>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</si>
  <si>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</si>
  <si>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</si>
  <si>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</si>
  <si>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</si>
  <si>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</si>
  <si>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</si>
  <si>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</si>
  <si>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</si>
  <si>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</si>
  <si>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</si>
  <si>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</si>
  <si>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</si>
  <si>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</si>
  <si>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</si>
  <si>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</si>
  <si>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</si>
  <si>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</si>
  <si>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</si>
  <si>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</si>
  <si>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</si>
  <si>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</si>
  <si>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</si>
  <si>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</si>
  <si>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</si>
  <si>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</si>
  <si>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</si>
  <si>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</si>
  <si>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</si>
  <si>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</si>
  <si>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</si>
  <si>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</si>
  <si>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</si>
  <si>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</si>
  <si>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</si>
  <si>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</si>
  <si>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</si>
  <si>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</si>
  <si>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</si>
  <si>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</si>
  <si>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</si>
  <si>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</si>
  <si>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</si>
  <si>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</si>
  <si>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</si>
  <si>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</si>
  <si>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</si>
  <si>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</si>
  <si>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</si>
  <si>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</si>
  <si>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</si>
  <si>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</si>
  <si>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</si>
  <si>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</si>
  <si>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</si>
  <si>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</si>
  <si>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</si>
  <si>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</si>
  <si>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</si>
  <si>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</si>
  <si>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</si>
  <si>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</si>
  <si>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</si>
  <si>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</si>
  <si>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</si>
  <si>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</si>
  <si>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</si>
  <si>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</si>
  <si>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</si>
  <si>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</si>
  <si>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</si>
  <si>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</si>
  <si>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</si>
  <si>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</si>
  <si>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</si>
  <si>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</si>
  <si>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</si>
  <si>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</si>
  <si>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</si>
  <si>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</si>
  <si>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</si>
  <si>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</si>
  <si>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</si>
  <si>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</si>
  <si>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</si>
  <si>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</si>
  <si>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</si>
  <si>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</si>
  <si>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</si>
  <si>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</si>
  <si>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</si>
  <si>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</si>
  <si>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</si>
  <si>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</si>
  <si>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</si>
  <si>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</si>
  <si>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</si>
  <si>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</si>
  <si>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</si>
  <si>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</si>
  <si>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</si>
  <si>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</si>
  <si>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</si>
  <si>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</si>
  <si>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</si>
  <si>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</si>
  <si>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</si>
  <si>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</si>
  <si>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</si>
  <si>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</si>
  <si>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</si>
  <si>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</si>
  <si>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</si>
  <si>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</si>
  <si>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</si>
  <si>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</si>
  <si>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</si>
  <si>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</si>
  <si>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</si>
  <si>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</si>
  <si>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</si>
  <si>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</si>
  <si>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</si>
  <si>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</si>
  <si>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</si>
  <si>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</si>
  <si>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</si>
  <si>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</si>
  <si>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</si>
  <si>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</si>
  <si>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</si>
  <si>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</si>
  <si>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</si>
  <si>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</si>
  <si>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</si>
  <si>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</si>
  <si>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</si>
  <si>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</si>
  <si>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</si>
  <si>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</si>
  <si>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</si>
  <si>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</si>
  <si>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</si>
  <si>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</si>
  <si>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</si>
  <si>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</si>
  <si>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</si>
  <si>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</si>
  <si>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</si>
  <si>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</si>
  <si>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</si>
  <si>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</si>
  <si>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</si>
  <si>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</si>
  <si>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</si>
  <si>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</si>
  <si>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</si>
  <si>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</si>
  <si>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</si>
  <si>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</si>
  <si>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</si>
  <si>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</si>
  <si>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</si>
  <si>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</si>
  <si>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</si>
  <si>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</si>
  <si>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</si>
  <si>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</si>
  <si>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</si>
  <si>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</si>
  <si>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</si>
  <si>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</si>
  <si>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</si>
  <si>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</si>
  <si>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</si>
  <si>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</si>
  <si>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</si>
  <si>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</si>
  <si>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</si>
  <si>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</si>
  <si>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</si>
  <si>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</si>
  <si>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</si>
  <si>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</si>
  <si>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</si>
  <si>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</si>
  <si>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</si>
  <si>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</si>
  <si>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</si>
  <si>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</si>
  <si>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</si>
  <si>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</si>
  <si>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</si>
  <si>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</si>
  <si>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</si>
  <si>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</si>
  <si>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</si>
  <si>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</si>
  <si>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</si>
  <si>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</si>
  <si>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</si>
  <si>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</si>
  <si>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</si>
  <si>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</si>
  <si>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</si>
  <si>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</si>
  <si>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</si>
  <si>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</si>
  <si>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</si>
  <si>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</si>
  <si>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</si>
  <si>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</si>
  <si>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</si>
  <si>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</si>
  <si>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</si>
  <si>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</si>
  <si>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</si>
  <si>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</si>
  <si>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</si>
  <si>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</si>
  <si>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</si>
  <si>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</si>
  <si>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</si>
  <si>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</si>
  <si>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</si>
  <si>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</si>
  <si>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</si>
  <si>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</si>
  <si>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</si>
  <si>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</si>
  <si>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</si>
  <si>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</si>
  <si>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</si>
  <si>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</si>
  <si>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</si>
  <si>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</si>
  <si>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</si>
  <si>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</si>
  <si>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</si>
  <si>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</si>
  <si>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</si>
  <si>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</si>
  <si>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</si>
  <si>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</si>
  <si>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</si>
  <si>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</si>
  <si>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</si>
  <si>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</si>
  <si>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</si>
  <si>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</si>
  <si>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</si>
  <si>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</si>
  <si>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</si>
  <si>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</si>
  <si>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</si>
  <si>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</si>
  <si>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</si>
  <si>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</si>
  <si>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</si>
  <si>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</si>
  <si>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</si>
  <si>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</si>
  <si>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</si>
  <si>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</si>
  <si>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</si>
  <si>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</si>
  <si>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</si>
  <si>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</si>
  <si>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</si>
  <si>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</si>
  <si>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</si>
  <si>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</si>
  <si>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</si>
  <si>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</si>
  <si>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</si>
  <si>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</si>
  <si>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</si>
  <si>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</si>
  <si>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</si>
  <si>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</si>
  <si>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</si>
  <si>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</si>
  <si>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</si>
  <si>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</si>
  <si>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</si>
  <si>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</si>
  <si>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</si>
  <si>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</si>
  <si>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</si>
  <si>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</si>
  <si>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</si>
  <si>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</si>
  <si>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</si>
  <si>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</si>
  <si>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</si>
  <si>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</si>
  <si>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</si>
  <si>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</si>
  <si>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</si>
  <si>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</si>
  <si>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</si>
  <si>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</si>
  <si>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</si>
  <si>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</si>
  <si>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</si>
  <si>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</si>
  <si>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</si>
  <si>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</si>
  <si>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</si>
  <si>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</si>
  <si>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</si>
  <si>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</si>
  <si>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</si>
  <si>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</si>
  <si>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</si>
  <si>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</si>
  <si>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</si>
  <si>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</si>
  <si>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</si>
  <si>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</si>
  <si>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</si>
  <si>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</si>
  <si>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</si>
  <si>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</si>
  <si>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</si>
  <si>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</si>
  <si>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</si>
  <si>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</si>
  <si>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</si>
  <si>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</si>
  <si>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</si>
  <si>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</si>
  <si>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</si>
  <si>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</si>
  <si>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</si>
  <si>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</si>
  <si>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</si>
  <si>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</si>
  <si>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</si>
  <si>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</si>
  <si>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</si>
  <si>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</si>
  <si>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</si>
  <si>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</si>
  <si>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</si>
  <si>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</si>
  <si>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</si>
  <si>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</si>
  <si>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</si>
  <si>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</si>
  <si>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</si>
  <si>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</si>
  <si>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</si>
  <si>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</si>
  <si>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</si>
  <si>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</si>
  <si>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</si>
  <si>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</si>
  <si>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</si>
  <si>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</si>
  <si>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</si>
  <si>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</si>
  <si>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</si>
  <si>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</si>
  <si>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</si>
  <si>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</si>
  <si>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</si>
  <si>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</si>
  <si>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</si>
  <si>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</si>
  <si>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</si>
  <si>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</si>
  <si>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</si>
  <si>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</si>
  <si>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</si>
  <si>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</si>
  <si>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</si>
  <si>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</si>
  <si>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</si>
  <si>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</si>
  <si>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</si>
  <si>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</si>
  <si>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</si>
  <si>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</si>
  <si>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</si>
  <si>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</si>
  <si>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</si>
  <si>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</si>
  <si>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</si>
  <si>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</si>
  <si>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</si>
  <si>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</si>
  <si>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</si>
  <si>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</si>
  <si>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</si>
  <si>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</si>
  <si>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</si>
  <si>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</si>
  <si>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</si>
  <si>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</si>
  <si>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</si>
  <si>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</si>
  <si>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</si>
  <si>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</si>
  <si>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</si>
  <si>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</si>
  <si>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</si>
  <si>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</si>
  <si>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</si>
  <si>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</si>
  <si>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</si>
  <si>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</si>
  <si>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</si>
  <si>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</si>
  <si>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</si>
  <si>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</si>
  <si>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</si>
  <si>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</si>
  <si>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</si>
  <si>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</si>
  <si>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</si>
  <si>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</si>
  <si>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</si>
  <si>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</si>
  <si>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</si>
  <si>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</si>
  <si>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</si>
  <si>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</si>
  <si>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</si>
  <si>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</si>
  <si>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</si>
  <si>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</si>
  <si>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</si>
  <si>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</si>
  <si>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</si>
  <si>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</si>
  <si>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</si>
  <si>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</si>
  <si>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</si>
  <si>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</si>
  <si>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</si>
  <si>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</si>
  <si>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</si>
  <si>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</si>
  <si>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</si>
  <si>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</si>
  <si>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</si>
  <si>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</si>
  <si>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</si>
  <si>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</si>
  <si>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</si>
  <si>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</si>
  <si>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</si>
  <si>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</si>
  <si>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</si>
  <si>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</si>
  <si>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</si>
  <si>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</si>
  <si>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</si>
  <si>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</si>
  <si>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</si>
  <si>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</si>
  <si>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</si>
  <si>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</si>
  <si>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</si>
  <si>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</si>
  <si>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</si>
  <si>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</si>
  <si>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</si>
  <si>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</si>
  <si>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</si>
  <si>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</si>
  <si>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</si>
  <si>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</si>
  <si>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</si>
  <si>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</si>
  <si>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</si>
  <si>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</si>
  <si>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</si>
  <si>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</si>
  <si>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</si>
  <si>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</si>
  <si>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</si>
  <si>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</si>
  <si>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</si>
  <si>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</si>
  <si>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</si>
  <si>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</si>
  <si>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</si>
  <si>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</si>
  <si>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</si>
  <si>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</si>
  <si>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</si>
  <si>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</si>
  <si>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</si>
  <si>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</si>
  <si>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</si>
  <si>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</si>
  <si>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</si>
  <si>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</si>
  <si>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</si>
  <si>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</si>
  <si>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</si>
  <si>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</si>
  <si>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</si>
  <si>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</si>
  <si>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</si>
  <si>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</si>
  <si>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</si>
  <si>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</si>
  <si>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</si>
  <si>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</si>
  <si>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</si>
  <si>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</si>
  <si>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</si>
  <si>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</si>
  <si>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</si>
  <si>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</si>
  <si>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</si>
  <si>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</si>
  <si>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</si>
  <si>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</si>
  <si>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</si>
  <si>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</si>
  <si>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</si>
  <si>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</si>
  <si>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</si>
  <si>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</si>
  <si>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</si>
  <si>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</si>
  <si>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</si>
  <si>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</si>
  <si>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</si>
  <si>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</si>
  <si>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</si>
  <si>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</si>
  <si>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</si>
  <si>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</si>
  <si>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</si>
  <si>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</si>
  <si>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</si>
  <si>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</si>
  <si>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</si>
  <si>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</si>
  <si>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</si>
  <si>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</si>
  <si>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</si>
  <si>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</si>
  <si>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</si>
  <si>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</si>
  <si>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</si>
  <si>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</si>
  <si>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</si>
  <si>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</si>
  <si>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</si>
  <si>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</si>
  <si>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</si>
  <si>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</si>
  <si>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</si>
  <si>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</si>
  <si>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</si>
  <si>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</si>
  <si>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</si>
  <si>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</si>
  <si>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</si>
  <si>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</si>
  <si>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</si>
  <si>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</si>
  <si>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</si>
  <si>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</si>
  <si>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</si>
  <si>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</si>
  <si>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</si>
  <si>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</si>
  <si>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</si>
  <si>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</si>
  <si>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</si>
  <si>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</si>
  <si>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</si>
  <si>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</si>
  <si>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</si>
  <si>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</si>
  <si>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</si>
  <si>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</si>
  <si>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</si>
  <si>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</si>
  <si>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</si>
  <si>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</si>
  <si>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</si>
  <si>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</si>
  <si>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</si>
  <si>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</si>
  <si>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</si>
  <si>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</si>
  <si>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</si>
  <si>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</si>
  <si>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</si>
  <si>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</si>
  <si>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</si>
  <si>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</si>
  <si>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</si>
  <si>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</si>
  <si>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</si>
  <si>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</si>
  <si>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</si>
  <si>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</si>
  <si>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</si>
  <si>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</si>
  <si>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</si>
  <si>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</si>
  <si>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</si>
  <si>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</si>
  <si>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</si>
  <si>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</si>
  <si>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</si>
  <si>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</si>
  <si>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</si>
  <si>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</si>
  <si>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</si>
  <si>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</si>
  <si>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</si>
  <si>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</si>
  <si>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</si>
  <si>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</si>
  <si>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</si>
  <si>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</si>
  <si>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</si>
  <si>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</si>
  <si>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</si>
  <si>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</si>
  <si>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</si>
  <si>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</si>
  <si>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</si>
  <si>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</si>
  <si>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</si>
  <si>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</si>
  <si>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</si>
  <si>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</si>
  <si>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</si>
  <si>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</si>
  <si>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</si>
  <si>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</si>
  <si>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</si>
  <si>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</si>
  <si>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</si>
  <si>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</si>
  <si>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</si>
  <si>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</si>
  <si>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</si>
  <si>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</si>
  <si>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</si>
  <si>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</si>
  <si>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</si>
  <si>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</si>
  <si>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</si>
  <si>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</si>
  <si>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</si>
  <si>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</si>
  <si>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</si>
  <si>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</si>
  <si>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</si>
  <si>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</si>
  <si>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</si>
  <si>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</si>
  <si>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</si>
  <si>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</si>
  <si>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</si>
  <si>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</si>
  <si>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</si>
  <si>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</si>
  <si>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</si>
  <si>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</si>
  <si>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</si>
  <si>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</si>
  <si>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</si>
  <si>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</si>
  <si>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</si>
  <si>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</si>
  <si>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</si>
  <si>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</si>
  <si>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</si>
  <si>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</si>
  <si>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</si>
  <si>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</si>
  <si>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</si>
  <si>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</si>
  <si>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</si>
  <si>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</si>
  <si>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</si>
  <si>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</si>
  <si>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</si>
  <si>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</si>
  <si>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</si>
  <si>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</si>
  <si>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</si>
  <si>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</si>
  <si>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</si>
  <si>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</si>
  <si>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</si>
  <si>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</si>
  <si>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</si>
  <si>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</si>
  <si>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</si>
  <si>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</si>
  <si>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</si>
  <si>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</si>
  <si>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</si>
  <si>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</si>
  <si>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</si>
  <si>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</si>
  <si>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</si>
  <si>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</si>
  <si>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</si>
  <si>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</si>
  <si>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</si>
  <si>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</si>
  <si>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</si>
  <si>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</si>
  <si>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</si>
  <si>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</si>
  <si>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</si>
  <si>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</si>
  <si>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</si>
  <si>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</si>
  <si>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</si>
  <si>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</si>
  <si>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</si>
  <si>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</si>
  <si>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</si>
  <si>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</si>
  <si>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</si>
  <si>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</si>
  <si>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</si>
  <si>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</si>
  <si>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</si>
  <si>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</si>
  <si>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</si>
  <si>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</si>
  <si>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</si>
  <si>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</si>
  <si>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</si>
  <si>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</si>
  <si>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</si>
  <si>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</si>
  <si>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</si>
  <si>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</si>
  <si>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</si>
  <si>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</si>
  <si>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</si>
  <si>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</si>
  <si>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</si>
  <si>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</si>
  <si>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</si>
  <si>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</si>
  <si>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</si>
  <si>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</si>
  <si>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</si>
  <si>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</si>
  <si>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</si>
  <si>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</si>
  <si>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</si>
  <si>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</si>
  <si>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</si>
  <si>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</si>
  <si>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</si>
  <si>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</si>
  <si>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</si>
  <si>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</si>
  <si>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</si>
  <si>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</si>
  <si>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</si>
  <si>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</si>
  <si>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</si>
  <si>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</si>
  <si>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</si>
  <si>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</si>
  <si>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</si>
  <si>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</si>
  <si>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</si>
  <si>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</si>
  <si>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</si>
  <si>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</si>
  <si>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</si>
  <si>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</si>
  <si>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</si>
  <si>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</si>
  <si>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</si>
  <si>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</si>
  <si>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</si>
  <si>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</si>
  <si>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</si>
  <si>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</si>
  <si>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</si>
  <si>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</si>
  <si>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</si>
  <si>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</si>
  <si>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</si>
  <si>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</si>
  <si>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</si>
  <si>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</si>
  <si>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</si>
  <si>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</si>
  <si>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</si>
  <si>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</si>
  <si>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</si>
  <si>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</si>
  <si>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</si>
  <si>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</si>
  <si>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</si>
  <si>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</si>
  <si>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</si>
  <si>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</si>
  <si>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</si>
  <si>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</si>
  <si>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</si>
  <si>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</si>
  <si>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</si>
  <si>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</si>
  <si>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</si>
  <si>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</si>
  <si>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</si>
  <si>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</si>
  <si>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</si>
  <si>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</si>
  <si>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</si>
  <si>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</si>
  <si>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</si>
  <si>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</si>
  <si>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</si>
  <si>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</si>
  <si>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</si>
  <si>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</si>
  <si>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</si>
  <si>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</si>
  <si>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</si>
  <si>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</si>
  <si>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</si>
  <si>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</si>
  <si>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</si>
  <si>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</si>
  <si>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</si>
  <si>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</si>
  <si>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</si>
  <si>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</si>
  <si>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</si>
  <si>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</si>
  <si>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</si>
  <si>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</si>
  <si>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</si>
  <si>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</si>
  <si>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</si>
  <si>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</si>
  <si>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</si>
  <si>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</si>
  <si>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</si>
  <si>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</si>
  <si>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</si>
  <si>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</si>
  <si>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</si>
  <si>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</si>
  <si>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</si>
  <si>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</si>
  <si>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</si>
  <si>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</si>
  <si>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</si>
  <si>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</si>
  <si>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</si>
  <si>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</si>
  <si>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</si>
  <si>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</si>
  <si>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</si>
  <si>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</si>
  <si>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</si>
  <si>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</si>
  <si>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</si>
  <si>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</si>
  <si>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</si>
  <si>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</si>
  <si>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</si>
  <si>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</si>
  <si>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</si>
  <si>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</si>
  <si>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</si>
  <si>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</si>
  <si>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</si>
  <si>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</si>
  <si>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</si>
  <si>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</si>
  <si>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</si>
  <si>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</si>
  <si>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</si>
  <si>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</si>
  <si>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</si>
  <si>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</si>
  <si>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</si>
  <si>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</si>
  <si>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</si>
  <si>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</si>
  <si>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</si>
  <si>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</si>
  <si>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</si>
  <si>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</si>
  <si>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</si>
  <si>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</si>
  <si>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</si>
  <si>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</si>
  <si>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</si>
  <si>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</si>
  <si>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</si>
  <si>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</si>
  <si>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</si>
  <si>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</si>
  <si>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</si>
  <si>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</si>
  <si>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</si>
  <si>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</si>
  <si>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</si>
  <si>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</si>
  <si>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</si>
  <si>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</si>
  <si>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</si>
  <si>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</si>
  <si>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</si>
  <si>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</si>
  <si>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</si>
  <si>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</si>
  <si>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</si>
  <si>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</si>
  <si>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</si>
  <si>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</si>
  <si>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</si>
  <si>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</si>
  <si>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</si>
  <si>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</si>
  <si>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</si>
  <si>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</si>
  <si>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</si>
  <si>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</si>
  <si>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</si>
  <si>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</si>
  <si>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</si>
  <si>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</si>
  <si>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</si>
  <si>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</si>
  <si>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</si>
  <si>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</si>
  <si>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</si>
  <si>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</si>
  <si>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</si>
  <si>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</si>
  <si>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</si>
  <si>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</si>
  <si>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</si>
  <si>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</si>
  <si>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</si>
  <si>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</si>
  <si>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</si>
  <si>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</si>
  <si>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</si>
  <si>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</si>
  <si>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</si>
  <si>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</si>
  <si>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</si>
  <si>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</si>
  <si>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</si>
  <si>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</si>
  <si>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</si>
  <si>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</si>
  <si>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</si>
  <si>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</si>
  <si>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</si>
  <si>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</si>
  <si>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</si>
  <si>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</si>
  <si>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</si>
  <si>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</si>
  <si>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</si>
  <si>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</si>
  <si>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</si>
  <si>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</si>
  <si>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</si>
  <si>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</si>
  <si>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</si>
  <si>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</si>
  <si>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</si>
  <si>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</si>
  <si>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</si>
  <si>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</si>
  <si>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</si>
  <si>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</si>
  <si>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</si>
  <si>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</si>
  <si>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</si>
  <si>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</si>
  <si>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</si>
  <si>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</si>
  <si>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</si>
  <si>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</si>
  <si>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</si>
  <si>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</si>
  <si>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</si>
  <si>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</si>
  <si>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</si>
  <si>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</si>
  <si>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</si>
  <si>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</si>
  <si>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</si>
  <si>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</si>
  <si>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</si>
  <si>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</si>
  <si>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</si>
  <si>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</si>
  <si>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</si>
  <si>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</si>
  <si>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</si>
  <si>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</si>
  <si>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</si>
  <si>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</si>
  <si>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</si>
  <si>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</si>
  <si>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</si>
  <si>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</si>
  <si>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</si>
  <si>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</si>
  <si>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</si>
  <si>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</si>
  <si>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</si>
  <si>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</si>
  <si>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</si>
  <si>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</si>
  <si>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</si>
  <si>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</si>
  <si>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</si>
  <si>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</si>
  <si>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</si>
  <si>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</si>
  <si>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</si>
  <si>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</si>
  <si>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</si>
  <si>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</si>
  <si>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</si>
  <si>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</si>
  <si>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</si>
  <si>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</si>
  <si>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</si>
  <si>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</si>
  <si>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</si>
  <si>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</si>
  <si>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</si>
  <si>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</si>
  <si>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</si>
  <si>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</si>
  <si>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</si>
  <si>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</si>
  <si>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</si>
  <si>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</si>
  <si>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</si>
  <si>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</si>
  <si>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</si>
  <si>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</si>
  <si>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</si>
  <si>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</si>
  <si>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</si>
  <si>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</si>
  <si>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</si>
  <si>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</si>
  <si>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</si>
  <si>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</si>
  <si>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</si>
  <si>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</si>
  <si>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</si>
  <si>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</si>
  <si>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</si>
  <si>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</si>
  <si>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</si>
  <si>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</si>
  <si>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</si>
  <si>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</si>
  <si>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</si>
  <si>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</si>
  <si>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</si>
  <si>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</si>
  <si>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</si>
  <si>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</si>
  <si>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</si>
  <si>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</si>
  <si>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</si>
  <si>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</si>
  <si>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</si>
  <si>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</si>
  <si>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</si>
  <si>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</si>
  <si>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</si>
  <si>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</si>
  <si>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</si>
  <si>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</si>
  <si>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</si>
  <si>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</si>
  <si>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</si>
  <si>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</si>
  <si>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</si>
  <si>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</si>
  <si>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</si>
  <si>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</si>
  <si>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</si>
  <si>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</si>
  <si>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</si>
  <si>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</si>
  <si>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</si>
  <si>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</si>
  <si>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</si>
  <si>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</si>
  <si>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</si>
  <si>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</si>
  <si>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</si>
  <si>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</si>
  <si>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</si>
  <si>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</si>
  <si>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</si>
  <si>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</si>
  <si>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</si>
  <si>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</si>
  <si>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</si>
  <si>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</si>
  <si>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</si>
  <si>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</si>
  <si>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</si>
  <si>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</si>
  <si>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</si>
  <si>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</si>
  <si>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</si>
  <si>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</si>
  <si>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</si>
  <si>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</si>
  <si>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</si>
  <si>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</si>
  <si>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</si>
  <si>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</si>
  <si>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</si>
  <si>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</si>
  <si>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</si>
  <si>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</si>
  <si>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</si>
  <si>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</si>
  <si>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</si>
  <si>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</si>
  <si>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</si>
  <si>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</si>
  <si>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</si>
  <si>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</si>
  <si>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</si>
  <si>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</si>
  <si>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</si>
  <si>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</si>
  <si>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</si>
  <si>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</si>
  <si>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</si>
  <si>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</si>
  <si>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</si>
  <si>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</si>
  <si>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</si>
  <si>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</si>
  <si>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</si>
  <si>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</si>
  <si>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</si>
  <si>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</si>
  <si>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</si>
  <si>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</si>
  <si>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</si>
  <si>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</si>
  <si>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</si>
  <si>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</si>
  <si>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</si>
  <si>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</si>
  <si>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</si>
  <si>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</si>
  <si>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</si>
  <si>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</si>
  <si>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</si>
  <si>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</si>
  <si>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</si>
  <si>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</si>
  <si>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</si>
  <si>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</si>
  <si>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</si>
  <si>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</si>
  <si>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</si>
  <si>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</si>
  <si>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</si>
  <si>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</si>
  <si>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</si>
  <si>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</si>
  <si>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</si>
  <si>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</si>
  <si>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</si>
  <si>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</si>
  <si>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</si>
  <si>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</si>
  <si>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</si>
  <si>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</si>
  <si>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</si>
  <si>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</si>
  <si>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</si>
  <si>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</si>
  <si>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</si>
  <si>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</si>
  <si>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</si>
  <si>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</si>
  <si>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</si>
  <si>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</si>
  <si>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</si>
  <si>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</si>
  <si>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</si>
  <si>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</si>
  <si>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</si>
  <si>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</si>
  <si>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</si>
  <si>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</si>
  <si>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</si>
  <si>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</si>
  <si>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</si>
  <si>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</si>
  <si>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</si>
  <si>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</si>
  <si>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</si>
  <si>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</si>
  <si>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</si>
  <si>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</si>
  <si>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</si>
  <si>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</si>
  <si>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</si>
  <si>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</si>
  <si>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</si>
  <si>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</si>
  <si>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</si>
  <si>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</si>
  <si>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</si>
  <si>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</si>
  <si>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</si>
  <si>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</si>
  <si>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</si>
  <si>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</si>
  <si>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</si>
  <si>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</si>
  <si>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</si>
  <si>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</si>
  <si>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</si>
  <si>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</si>
  <si>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</si>
  <si>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</si>
  <si>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</si>
  <si>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</si>
  <si>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</si>
  <si>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</si>
  <si>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</si>
  <si>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</si>
  <si>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</si>
  <si>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</si>
  <si>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</si>
  <si>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</si>
  <si>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</si>
  <si>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</si>
  <si>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</si>
  <si>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</si>
  <si>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</si>
  <si>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</si>
  <si>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</si>
  <si>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</si>
  <si>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</si>
  <si>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</si>
  <si>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</si>
  <si>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</si>
  <si>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</si>
  <si>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</si>
  <si>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</si>
  <si>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</si>
  <si>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</si>
  <si>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</si>
  <si>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</si>
  <si>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</si>
  <si>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</si>
  <si>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</si>
  <si>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</si>
  <si>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</si>
  <si>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</si>
  <si>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</si>
  <si>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</si>
  <si>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</si>
  <si>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</si>
  <si>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</si>
  <si>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</si>
  <si>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</si>
  <si>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</si>
  <si>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</si>
  <si>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</si>
  <si>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</si>
  <si>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</si>
  <si>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</si>
  <si>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</si>
  <si>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</si>
  <si>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</si>
  <si>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</si>
  <si>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</si>
  <si>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</si>
  <si>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</si>
  <si>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</si>
  <si>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</si>
  <si>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</si>
  <si>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</si>
  <si>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</si>
  <si>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</si>
  <si>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</si>
  <si>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</si>
  <si>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</si>
  <si>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</si>
  <si>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</si>
  <si>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</si>
  <si>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</si>
  <si>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</si>
  <si>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</si>
  <si>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</si>
  <si>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</si>
  <si>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</si>
  <si>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</si>
  <si>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</si>
  <si>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</si>
  <si>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</si>
  <si>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</si>
  <si>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</si>
  <si>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</si>
  <si>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</si>
  <si>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</si>
  <si>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</si>
  <si>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</si>
  <si>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</si>
  <si>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</si>
  <si>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</si>
  <si>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</si>
  <si>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</si>
  <si>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</si>
  <si>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</si>
  <si>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</si>
  <si>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</si>
  <si>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</si>
  <si>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</si>
  <si>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</si>
  <si>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</si>
  <si>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</si>
  <si>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</si>
  <si>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</si>
  <si>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</si>
  <si>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</si>
  <si>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</si>
  <si>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</si>
  <si>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</si>
  <si>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</si>
  <si>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</si>
  <si>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</si>
  <si>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</si>
  <si>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</si>
  <si>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</si>
  <si>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</si>
  <si>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</si>
  <si>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</si>
  <si>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</si>
  <si>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</si>
  <si>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</si>
  <si>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</si>
  <si>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</si>
  <si>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</si>
  <si>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</si>
  <si>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</si>
  <si>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</si>
  <si>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</si>
  <si>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</si>
  <si>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</si>
  <si>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</si>
  <si>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</si>
  <si>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</si>
  <si>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</si>
  <si>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</si>
  <si>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</si>
  <si>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</si>
  <si>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</si>
  <si>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</si>
  <si>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</si>
  <si>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</si>
  <si>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</si>
  <si>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</si>
  <si>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</si>
  <si>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</si>
  <si>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</si>
  <si>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</si>
  <si>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</si>
  <si>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</si>
  <si>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</si>
  <si>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</si>
  <si>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</si>
  <si>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</si>
  <si>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</si>
  <si>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</si>
  <si>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</si>
  <si>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</si>
  <si>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</si>
  <si>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</si>
  <si>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</si>
  <si>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</si>
  <si>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</si>
  <si>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</si>
  <si>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</si>
  <si>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</si>
  <si>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</si>
  <si>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</si>
  <si>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</si>
  <si>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</si>
  <si>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</si>
  <si>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</si>
  <si>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</si>
  <si>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</si>
  <si>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</si>
  <si>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</si>
  <si>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</si>
  <si>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</si>
  <si>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</si>
  <si>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</si>
  <si>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</si>
  <si>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</si>
  <si>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</si>
  <si>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</si>
  <si>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</si>
  <si>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</si>
  <si>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</si>
  <si>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</si>
  <si>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</si>
  <si>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</si>
  <si>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</si>
  <si>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</si>
  <si>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</si>
  <si>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</si>
  <si>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</si>
  <si>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</si>
  <si>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</si>
  <si>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</si>
  <si>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</si>
  <si>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</si>
  <si>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</si>
  <si>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</si>
  <si>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</si>
  <si>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</si>
  <si>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</si>
  <si>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</si>
  <si>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</si>
  <si>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</si>
  <si>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</si>
  <si>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</si>
  <si>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</si>
  <si>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</si>
  <si>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</si>
  <si>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</si>
  <si>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</si>
  <si>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</si>
  <si>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</si>
  <si>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</si>
  <si>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</si>
  <si>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</si>
  <si>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</si>
  <si>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</si>
  <si>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</si>
  <si>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</si>
  <si>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</si>
  <si>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</si>
  <si>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</si>
  <si>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</si>
  <si>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</si>
  <si>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</si>
  <si>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</si>
  <si>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</si>
  <si>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</si>
  <si>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</si>
  <si>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</si>
  <si>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</si>
  <si>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</si>
  <si>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</si>
  <si>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</si>
  <si>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</si>
  <si>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</si>
  <si>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</si>
  <si>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</si>
  <si>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</si>
  <si>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</si>
  <si>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</si>
  <si>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</si>
  <si>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</si>
  <si>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</si>
  <si>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</si>
  <si>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</si>
  <si>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</si>
  <si>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</si>
  <si>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</si>
  <si>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</si>
  <si>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</si>
  <si>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</si>
  <si>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</si>
  <si>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</si>
  <si>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</si>
  <si>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</si>
  <si>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</si>
  <si>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</si>
  <si>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</si>
  <si>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</si>
  <si>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</si>
  <si>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</si>
  <si>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</si>
  <si>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</si>
  <si>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</si>
  <si>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</si>
  <si>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</si>
  <si>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</si>
  <si>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</si>
  <si>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</si>
  <si>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</si>
  <si>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</si>
  <si>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</si>
  <si>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</si>
  <si>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</si>
  <si>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</si>
  <si>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</si>
  <si>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</si>
  <si>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</si>
  <si>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</si>
  <si>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</si>
  <si>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</si>
  <si>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</si>
  <si>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</si>
  <si>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</si>
  <si>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</si>
  <si>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</si>
  <si>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</si>
  <si>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</si>
  <si>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</si>
  <si>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</si>
  <si>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</si>
  <si>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</si>
  <si>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</si>
  <si>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</si>
  <si>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</si>
  <si>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</si>
  <si>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</si>
  <si>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</si>
  <si>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</si>
  <si>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</si>
  <si>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</si>
  <si>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</si>
  <si>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</si>
  <si>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</si>
  <si>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</si>
  <si>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</si>
  <si>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</si>
  <si>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</si>
  <si>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</si>
  <si>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</si>
  <si>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</si>
  <si>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</si>
  <si>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</si>
  <si>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</si>
  <si>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</si>
  <si>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</si>
  <si>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</si>
  <si>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</si>
  <si>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</si>
  <si>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</si>
  <si>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</si>
  <si>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</si>
  <si>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</si>
  <si>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</si>
  <si>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</si>
  <si>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</si>
  <si>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</si>
  <si>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</si>
  <si>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</si>
  <si>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</si>
  <si>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</si>
  <si>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</si>
  <si>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</si>
  <si>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</si>
  <si>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</si>
  <si>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</si>
  <si>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</si>
  <si>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</si>
  <si>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</si>
  <si>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</si>
  <si>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</si>
  <si>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</si>
  <si>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</si>
  <si>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</si>
  <si>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</si>
  <si>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</si>
  <si>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</si>
  <si>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</si>
  <si>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</si>
  <si>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</si>
  <si>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</si>
  <si>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</si>
  <si>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</si>
  <si>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</si>
  <si>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</si>
  <si>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</si>
  <si>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</si>
  <si>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</si>
  <si>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</si>
  <si>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</si>
  <si>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</si>
  <si>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</si>
  <si>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</si>
  <si>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</si>
  <si>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</si>
  <si>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</si>
  <si>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</si>
  <si>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</si>
  <si>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</si>
  <si>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</si>
  <si>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</si>
  <si>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</si>
  <si>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</si>
  <si>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</si>
  <si>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</si>
  <si>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</si>
  <si>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</si>
  <si>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</si>
  <si>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</si>
  <si>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</si>
  <si>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</si>
  <si>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</si>
  <si>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</si>
  <si>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</si>
  <si>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</si>
  <si>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</si>
  <si>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</si>
  <si>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</si>
  <si>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</si>
  <si>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</si>
  <si>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</si>
  <si>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</si>
  <si>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</si>
  <si>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</si>
  <si>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</si>
  <si>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</si>
  <si>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</si>
  <si>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</si>
  <si>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</si>
  <si>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</si>
  <si>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</si>
  <si>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</si>
  <si>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</si>
  <si>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</si>
  <si>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</si>
  <si>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</si>
  <si>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</si>
  <si>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</si>
  <si>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</si>
  <si>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</si>
  <si>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</si>
  <si>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</si>
  <si>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</si>
  <si>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</si>
  <si>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</si>
  <si>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</si>
  <si>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</si>
  <si>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</si>
  <si>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</si>
  <si>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</si>
  <si>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</si>
  <si>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</si>
  <si>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</si>
  <si>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</si>
  <si>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</si>
  <si>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</si>
  <si>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</si>
  <si>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</si>
  <si>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</si>
  <si>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</si>
  <si>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</si>
  <si>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</si>
  <si>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</si>
  <si>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</si>
  <si>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</si>
  <si>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</si>
  <si>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</si>
  <si>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</si>
  <si>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</si>
  <si>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</si>
  <si>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</si>
  <si>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</si>
  <si>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</si>
  <si>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</si>
  <si>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</si>
  <si>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</si>
  <si>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</si>
  <si>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</si>
  <si>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</si>
  <si>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</si>
  <si>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</si>
  <si>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</si>
  <si>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</si>
  <si>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</si>
  <si>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</si>
  <si>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</si>
  <si>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</si>
  <si>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</si>
  <si>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</si>
  <si>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</si>
  <si>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</si>
  <si>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</si>
  <si>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</si>
  <si>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</si>
  <si>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</si>
  <si>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</si>
  <si>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</si>
  <si>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</si>
  <si>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</si>
  <si>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</si>
  <si>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</si>
  <si>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</si>
  <si>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</si>
  <si>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</si>
  <si>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</si>
  <si>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</si>
  <si>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</si>
  <si>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</si>
  <si>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</si>
  <si>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</si>
  <si>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</si>
  <si>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</si>
  <si>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</si>
  <si>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</si>
  <si>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</si>
  <si>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</si>
  <si>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</si>
  <si>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</si>
  <si>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</si>
  <si>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</si>
  <si>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</si>
  <si>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</si>
  <si>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</si>
  <si>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</si>
  <si>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</si>
  <si>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</si>
  <si>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</si>
  <si>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</si>
  <si>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</si>
  <si>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</si>
  <si>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</si>
  <si>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</si>
  <si>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</si>
  <si>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</si>
  <si>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</si>
  <si>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</si>
  <si>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</si>
  <si>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</si>
  <si>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</si>
  <si>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</si>
  <si>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</si>
  <si>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</si>
  <si>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</si>
  <si>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</si>
  <si>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</si>
  <si>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</si>
  <si>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</si>
  <si>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</si>
  <si>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</si>
  <si>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</si>
  <si>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</si>
  <si>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</si>
  <si>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</si>
  <si>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</si>
  <si>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</si>
  <si>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</si>
  <si>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</si>
  <si>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</si>
  <si>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</si>
  <si>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</si>
  <si>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</si>
  <si>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</si>
  <si>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</si>
  <si>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</si>
  <si>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</si>
  <si>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</si>
  <si>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</si>
  <si>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</si>
  <si>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</si>
  <si>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</si>
  <si>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</si>
  <si>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</si>
  <si>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</si>
  <si>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</si>
  <si>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</si>
  <si>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</si>
  <si>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</si>
  <si>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</si>
  <si>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</si>
  <si>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</si>
  <si>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</si>
  <si>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</si>
  <si>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</si>
  <si>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</si>
  <si>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</si>
  <si>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</si>
  <si>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</si>
  <si>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</si>
  <si>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</si>
  <si>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</si>
  <si>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</si>
  <si>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</si>
  <si>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</si>
  <si>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</si>
  <si>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</si>
  <si>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</si>
  <si>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</si>
  <si>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</si>
  <si>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</si>
  <si>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</si>
  <si>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</si>
  <si>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</si>
  <si>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</si>
  <si>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</si>
  <si>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</si>
  <si>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</si>
  <si>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</si>
  <si>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</si>
  <si>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</si>
  <si>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</si>
  <si>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</si>
  <si>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</si>
  <si>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</si>
  <si>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</si>
  <si>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</si>
  <si>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</si>
  <si>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</si>
  <si>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</si>
  <si>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</si>
  <si>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</si>
  <si>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</si>
  <si>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</si>
  <si>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</si>
  <si>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</si>
  <si>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</si>
  <si>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</si>
  <si>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</si>
  <si>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</si>
  <si>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</si>
  <si>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</si>
  <si>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</si>
  <si>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</si>
  <si>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</si>
  <si>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</si>
  <si>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</si>
  <si>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</si>
  <si>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</si>
  <si>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</si>
  <si>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</si>
  <si>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</si>
  <si>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</si>
  <si>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</si>
  <si>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</si>
  <si>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</si>
  <si>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</si>
  <si>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</si>
  <si>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</si>
  <si>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</si>
  <si>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</si>
  <si>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</si>
  <si>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</si>
  <si>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</si>
  <si>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</si>
  <si>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</si>
  <si>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</si>
  <si>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</si>
  <si>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</si>
  <si>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</si>
  <si>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</si>
  <si>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</si>
  <si>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</si>
  <si>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</si>
  <si>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</si>
  <si>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</si>
  <si>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</si>
  <si>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</si>
  <si>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</si>
  <si>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</si>
  <si>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</si>
  <si>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</si>
  <si>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</si>
  <si>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</si>
  <si>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</si>
  <si>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</si>
  <si>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</si>
  <si>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</si>
  <si>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</si>
  <si>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</si>
  <si>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</si>
  <si>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</si>
  <si>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</si>
  <si>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</si>
  <si>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</si>
  <si>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</si>
  <si>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</si>
  <si>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</si>
  <si>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</si>
  <si>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</si>
  <si>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</si>
  <si>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</si>
  <si>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</si>
  <si>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</si>
  <si>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</si>
  <si>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</si>
  <si>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</si>
  <si>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</si>
  <si>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</si>
  <si>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</si>
  <si>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</si>
  <si>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</si>
  <si>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</si>
  <si>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</si>
  <si>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</si>
  <si>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</si>
  <si>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</si>
  <si>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</si>
  <si>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</si>
  <si>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</si>
  <si>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</si>
  <si>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</si>
  <si>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</si>
  <si>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</si>
  <si>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</si>
  <si>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</si>
  <si>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</si>
  <si>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</si>
  <si>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</si>
  <si>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</si>
  <si>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</si>
  <si>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</si>
  <si>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</si>
  <si>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</si>
  <si>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</si>
  <si>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</si>
  <si>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</si>
  <si>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</si>
  <si>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</si>
  <si>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</si>
  <si>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</si>
  <si>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</si>
  <si>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</si>
  <si>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</si>
  <si>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</si>
  <si>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</si>
  <si>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</si>
  <si>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</si>
  <si>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</si>
  <si>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LA COLAGNE</t>
  </si>
  <si>
    <t xml:space="preserve">LA COLAGNE A MARVEJOLS (PONT DE LA N88 A MORIES)</t>
  </si>
  <si>
    <t xml:space="preserve">05101000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</si>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</sst>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11.7777777777778</v>
      </c>
      <c r="N5" s="324"/>
      <c r="O5" s="325" t="s">
        <v>134</v>
      </c>
      <c r="P5" s="326" t="n">
        <v>13.4285714285714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81</v>
      </c>
      <c r="C7" s="342" t="n">
        <v>19</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12</v>
      </c>
      <c r="P8" s="356" t="n">
        <f aca="false">IF(ISERROR(AVERAGE(K23:K82)),"  ",AVERAGE(K23:K82))</f>
        <v>1.625</v>
      </c>
      <c r="Q8" s="357"/>
      <c r="R8" s="281"/>
      <c r="S8" s="281"/>
      <c r="T8" s="281"/>
      <c r="U8" s="281"/>
      <c r="V8" s="281"/>
      <c r="W8" s="295"/>
      <c r="X8" s="0"/>
      <c r="Y8" s="0"/>
      <c r="Z8" s="0"/>
    </row>
    <row r="9" customFormat="false" ht="12.75" hidden="false" customHeight="false" outlineLevel="0" collapsed="false">
      <c r="A9" s="314" t="s">
        <v>3400</v>
      </c>
      <c r="B9" s="358" t="n">
        <v>14</v>
      </c>
      <c r="C9" s="359" t="n">
        <v>1</v>
      </c>
      <c r="D9" s="360"/>
      <c r="E9" s="360"/>
      <c r="F9" s="361" t="n">
        <f aca="false">($B9*$B$7+$C9*$C$7)/100</f>
        <v>11.53</v>
      </c>
      <c r="G9" s="362"/>
      <c r="H9" s="317"/>
      <c r="I9" s="281"/>
      <c r="J9" s="363"/>
      <c r="K9" s="364"/>
      <c r="L9" s="347"/>
      <c r="M9" s="365"/>
      <c r="N9" s="355" t="s">
        <v>3401</v>
      </c>
      <c r="O9" s="356" t="n">
        <f aca="false">IF(ISERROR(STDEVP(J23:J82))," ",STDEVP(J23:J82))</f>
        <v>2.73861278752583</v>
      </c>
      <c r="P9" s="356" t="n">
        <f aca="false">IF(ISERROR(STDEVP(K23:K82)),"  ",STDEVP(K23:K82))</f>
        <v>0.484122918275927</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7</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1</v>
      </c>
      <c r="M13" s="381"/>
      <c r="N13" s="389" t="s">
        <v>3414</v>
      </c>
      <c r="O13" s="390" t="n">
        <f aca="false">COUNTIF(F23:F82,"&gt;0")</f>
        <v>13</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1</v>
      </c>
      <c r="M14" s="381"/>
      <c r="N14" s="392" t="s">
        <v>3417</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4</v>
      </c>
      <c r="M15" s="381"/>
      <c r="N15" s="389" t="s">
        <v>3420</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0.615384615384615</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15</v>
      </c>
      <c r="C20" s="433" t="n">
        <f aca="false">SUM(C23:C82)</f>
        <v>1.25</v>
      </c>
      <c r="D20" s="434"/>
      <c r="E20" s="435" t="s">
        <v>3427</v>
      </c>
      <c r="F20" s="436" t="n">
        <f aca="false">($B20*$B$7+$C20*$C$7)/100</f>
        <v>12.3875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12.15</v>
      </c>
      <c r="C21" s="444" t="n">
        <f aca="false">C20*C7/100</f>
        <v>0.2375</v>
      </c>
      <c r="D21" s="445" t="s">
        <v>3430</v>
      </c>
      <c r="E21" s="446"/>
      <c r="F21" s="447" t="n">
        <f aca="false">B21+C21</f>
        <v>12.3875</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134</v>
      </c>
      <c r="B23" s="472" t="n">
        <v>14</v>
      </c>
      <c r="C23" s="473" t="n">
        <v>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11.53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11.53</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0.05</v>
      </c>
      <c r="C24" s="491" t="n">
        <v>0.05</v>
      </c>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0.05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176</v>
      </c>
      <c r="B25" s="490" t="n">
        <v>0.05</v>
      </c>
      <c r="C25" s="491"/>
      <c r="D25" s="492" t="str">
        <f aca="false">IF(ISERROR(VLOOKUP($A25,'liste reference'!$A$6:$B$1174,2,0)),IF(ISERROR(VLOOKUP($A25,'liste reference'!$B$6:$B$1174,1,0)),"",VLOOKUP($A25,'liste reference'!$B$6:$B$1174,1,0)),VLOOKUP($A25,'liste reference'!$A$6:$B$1174,2,0))</f>
        <v>Gomphoneis sp.</v>
      </c>
      <c r="E25" s="493" t="e">
        <f aca="false">IF(D25="",0,VLOOKUP(D25,D$22:D24,1,0))</f>
        <v>#N/A</v>
      </c>
      <c r="F25" s="494" t="n">
        <f aca="false">IF(AND(OR(A25="",A25="!!!!!!"),B25="",C25=""),"",IF(OR(AND(B25="",C25=""),ISERROR(C25+B25)),"!!!",($B25*$B$7+$C25*$C$7)/100))</f>
        <v>0.0405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Gomphoneis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9382</v>
      </c>
      <c r="R25" s="484" t="n">
        <f aca="false">IF(ISTEXT(H25),"",(B25*$B$7/100)+(C25*$C$7/100))</f>
        <v>0.0405</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GOMSPX</v>
      </c>
      <c r="Z25" s="470" t="n">
        <f aca="false">IF(ISERROR(MATCH(A25,'liste reference'!$A$6:$A$1174,0)),IF(ISERROR(MATCH(A25,'liste reference'!$B$6:$B$1174,0)),"",(MATCH(A25,'liste reference'!$B$6:$B$1174,0))),(MATCH(A25,'liste reference'!$A$6:$A$1174,0)))</f>
        <v>48</v>
      </c>
    </row>
    <row r="26" customFormat="false" ht="12.75" hidden="false" customHeight="false" outlineLevel="0" collapsed="false">
      <c r="A26" s="489" t="s">
        <v>195</v>
      </c>
      <c r="B26" s="490" t="n">
        <v>0.5</v>
      </c>
      <c r="C26" s="491"/>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0.405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0.405</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217</v>
      </c>
      <c r="B27" s="490" t="n">
        <v>0.05</v>
      </c>
      <c r="C27" s="491"/>
      <c r="D27" s="492" t="str">
        <f aca="false">IF(ISERROR(VLOOKUP($A27,'liste reference'!$A$6:$B$1174,2,0)),IF(ISERROR(VLOOKUP($A27,'liste reference'!$B$6:$B$1174,1,0)),"",VLOOKUP($A27,'liste reference'!$B$6:$B$1174,1,0)),VLOOKUP($A27,'liste reference'!$A$6:$B$1174,2,0))</f>
        <v>Lemanea sp.</v>
      </c>
      <c r="E27" s="493" t="e">
        <f aca="false">IF(D27="",0,VLOOKUP(D27,D$22:D26,1,0))</f>
        <v>#N/A</v>
      </c>
      <c r="F27" s="494" t="n">
        <f aca="false">IF(AND(OR(A27="",A27="!!!!!!"),B27="",C27=""),"",IF(OR(AND(B27="",C27=""),ISERROR(C27+B27)),"!!!",($B27*$B$7+$C27*$C$7)/100))</f>
        <v>0.0405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Lemanea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1159</v>
      </c>
      <c r="R27" s="484" t="n">
        <f aca="false">IF(ISTEXT(H27),"",(B27*$B$7/100)+(C27*$C$7/100))</f>
        <v>0.0405</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LEASPX</v>
      </c>
      <c r="Z27" s="470" t="n">
        <f aca="false">IF(ISERROR(MATCH(A27,'liste reference'!$A$6:$A$1174,0)),IF(ISERROR(MATCH(A27,'liste reference'!$B$6:$B$1174,0)),"",(MATCH(A27,'liste reference'!$B$6:$B$1174,0))),(MATCH(A27,'liste reference'!$A$6:$A$1174,0)))</f>
        <v>59</v>
      </c>
    </row>
    <row r="28" customFormat="false" ht="12.75" hidden="false" customHeight="false" outlineLevel="0" collapsed="false">
      <c r="A28" s="489" t="s">
        <v>309</v>
      </c>
      <c r="B28" s="490" t="n">
        <v>0.05</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0.0405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0.0405</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348</v>
      </c>
      <c r="B29" s="490" t="n">
        <v>0.05</v>
      </c>
      <c r="C29" s="491"/>
      <c r="D29" s="492" t="str">
        <f aca="false">IF(ISERROR(VLOOKUP($A29,'liste reference'!$A$6:$B$1174,2,0)),IF(ISERROR(VLOOKUP($A29,'liste reference'!$B$6:$B$1174,1,0)),"",VLOOKUP($A29,'liste reference'!$B$6:$B$1174,1,0)),VLOOKUP($A29,'liste reference'!$A$6:$B$1174,2,0))</f>
        <v>Stigeoclonium sp. (excep. S. tenue)</v>
      </c>
      <c r="E29" s="493" t="e">
        <f aca="false">IF(D29="",0,VLOOKUP(D29,D$22:D28,1,0))</f>
        <v>#N/A</v>
      </c>
      <c r="F29" s="494" t="n">
        <f aca="false">IF(AND(OR(A29="",A29="!!!!!!"),B29="",C29=""),"",IF(OR(AND(B29="",C29=""),ISERROR(C29+B29)),"!!!",($B29*$B$7+$C29*$C$7)/100))</f>
        <v>0.0405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Stigeoclonium sp. (excep. S. tenue)</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1119</v>
      </c>
      <c r="R29" s="484" t="n">
        <f aca="false">IF(ISTEXT(H29),"",(B29*$B$7/100)+(C29*$C$7/100))</f>
        <v>0.0405</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STISPX</v>
      </c>
      <c r="Z29" s="470" t="n">
        <f aca="false">IF(ISERROR(MATCH(A29,'liste reference'!$A$6:$A$1174,0)),IF(ISERROR(MATCH(A29,'liste reference'!$B$6:$B$1174,0)),"",(MATCH(A29,'liste reference'!$B$6:$B$1174,0))),(MATCH(A29,'liste reference'!$A$6:$A$1174,0)))</f>
        <v>104</v>
      </c>
    </row>
    <row r="30" customFormat="false" ht="12.75" hidden="false" customHeight="false" outlineLevel="0" collapsed="false">
      <c r="A30" s="489" t="s">
        <v>1122</v>
      </c>
      <c r="B30" s="490" t="n">
        <v>0.05</v>
      </c>
      <c r="C30" s="491"/>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0.0405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0.0405</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1255</v>
      </c>
      <c r="B31" s="490" t="n">
        <v>0.05</v>
      </c>
      <c r="C31" s="491" t="n">
        <v>0.05</v>
      </c>
      <c r="D31" s="492" t="str">
        <f aca="false">IF(ISERROR(VLOOKUP($A31,'liste reference'!$A$6:$B$1174,2,0)),IF(ISERROR(VLOOKUP($A31,'liste reference'!$B$6:$B$1174,1,0)),"",VLOOKUP($A31,'liste reference'!$B$6:$B$1174,1,0)),VLOOKUP($A31,'liste reference'!$A$6:$B$1174,2,0))</f>
        <v>Equisetum arvense</v>
      </c>
      <c r="E31" s="493" t="e">
        <f aca="false">IF(D31="",0,VLOOKUP(D31,D$22:D30,1,0))</f>
        <v>#N/A</v>
      </c>
      <c r="F31" s="494" t="n">
        <f aca="false">IF(AND(OR(A31="",A31="!!!!!!"),B31="",C31=""),"",IF(OR(AND(B31="",C31=""),ISERROR(C31+B31)),"!!!",($B31*$B$7+$C31*$C$7)/100))</f>
        <v>0.05</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arvense</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1384</v>
      </c>
      <c r="R31" s="484" t="n">
        <f aca="false">IF(ISTEXT(H31),"",(B31*$B$7/100)+(C31*$C$7/100))</f>
        <v>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EQUARV</v>
      </c>
      <c r="Z31" s="470" t="n">
        <f aca="false">IF(ISERROR(MATCH(A31,'liste reference'!$A$6:$A$1174,0)),IF(ISERROR(MATCH(A31,'liste reference'!$B$6:$B$1174,0)),"",(MATCH(A31,'liste reference'!$B$6:$B$1174,0))),(MATCH(A31,'liste reference'!$A$6:$A$1174,0)))</f>
        <v>385</v>
      </c>
    </row>
    <row r="32" customFormat="false" ht="12.75" hidden="false" customHeight="false" outlineLevel="0" collapsed="false">
      <c r="A32" s="489" t="s">
        <v>2138</v>
      </c>
      <c r="B32" s="490" t="n">
        <v>0.05</v>
      </c>
      <c r="C32" s="491" t="n">
        <v>0.05</v>
      </c>
      <c r="D32" s="492" t="str">
        <f aca="false">IF(ISERROR(VLOOKUP($A32,'liste reference'!$A$6:$B$1174,2,0)),IF(ISERROR(VLOOKUP($A32,'liste reference'!$B$6:$B$1174,1,0)),"",VLOOKUP($A32,'liste reference'!$B$6:$B$1174,1,0)),VLOOKUP($A32,'liste reference'!$A$6:$B$1174,2,0))</f>
        <v>Mentha longifolia</v>
      </c>
      <c r="E32" s="493" t="e">
        <f aca="false">IF(D32="",0,VLOOKUP(D32,D$22:D31,1,0))</f>
        <v>#N/A</v>
      </c>
      <c r="F32" s="494" t="n">
        <f aca="false">IF(AND(OR(A32="",A32="!!!!!!"),B32="",C32=""),"",IF(OR(AND(B32="",C32=""),ISERROR(C32+B32)),"!!!",($B32*$B$7+$C32*$C$7)/100))</f>
        <v>0.05</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Mentha longifolia</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19856</v>
      </c>
      <c r="R32" s="484" t="n">
        <f aca="false">IF(ISTEXT(H32),"",(B32*$B$7/100)+(C32*$C$7/100))</f>
        <v>0.05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MENLON</v>
      </c>
      <c r="Z32" s="470" t="n">
        <f aca="false">IF(ISERROR(MATCH(A32,'liste reference'!$A$6:$A$1174,0)),IF(ISERROR(MATCH(A32,'liste reference'!$B$6:$B$1174,0)),"",(MATCH(A32,'liste reference'!$B$6:$B$1174,0))),(MATCH(A32,'liste reference'!$A$6:$A$1174,0)))</f>
        <v>695</v>
      </c>
    </row>
    <row r="33" customFormat="false" ht="12.75" hidden="false" customHeight="false" outlineLevel="0" collapsed="false">
      <c r="A33" s="489" t="s">
        <v>2170</v>
      </c>
      <c r="B33" s="490" t="n">
        <v>0.05</v>
      </c>
      <c r="C33" s="491" t="n">
        <v>0.05</v>
      </c>
      <c r="D33" s="492" t="str">
        <f aca="false">IF(ISERROR(VLOOKUP($A33,'liste reference'!$A$6:$B$1174,2,0)),IF(ISERROR(VLOOKUP($A33,'liste reference'!$B$6:$B$1174,1,0)),"",VLOOKUP($A33,'liste reference'!$B$6:$B$1174,1,0)),VLOOKUP($A33,'liste reference'!$A$6:$B$1174,2,0))</f>
        <v>Phalaris arundinacea</v>
      </c>
      <c r="E33" s="493" t="e">
        <f aca="false">IF(D33="",0,VLOOKUP(D33,D$22:D32,1,0))</f>
        <v>#N/A</v>
      </c>
      <c r="F33" s="494" t="n">
        <f aca="false">IF(AND(OR(A33="",A33="!!!!!!"),B33="",C33=""),"",IF(OR(AND(B33="",C33=""),ISERROR(C33+B33)),"!!!",($B33*$B$7+$C33*$C$7)/100))</f>
        <v>0.05</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Phalaris arundinacea</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1577</v>
      </c>
      <c r="R33" s="484" t="n">
        <f aca="false">IF(ISTEXT(H33),"",(B33*$B$7/100)+(C33*$C$7/100))</f>
        <v>0.05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PHAARU</v>
      </c>
      <c r="Z33" s="470" t="n">
        <f aca="false">IF(ISERROR(MATCH(A33,'liste reference'!$A$6:$A$1174,0)),IF(ISERROR(MATCH(A33,'liste reference'!$B$6:$B$1174,0)),"",(MATCH(A33,'liste reference'!$B$6:$B$1174,0))),(MATCH(A33,'liste reference'!$A$6:$A$1174,0)))</f>
        <v>707</v>
      </c>
    </row>
    <row r="34" customFormat="false" ht="12.75" hidden="false" customHeight="false" outlineLevel="0" collapsed="false">
      <c r="A34" s="489" t="s">
        <v>2688</v>
      </c>
      <c r="B34" s="490" t="n">
        <v>0.05</v>
      </c>
      <c r="C34" s="491"/>
      <c r="D34" s="492" t="str">
        <f aca="false">IF(ISERROR(VLOOKUP($A34,'liste reference'!$A$6:$B$1174,2,0)),IF(ISERROR(VLOOKUP($A34,'liste reference'!$B$6:$B$1174,1,0)),"",VLOOKUP($A34,'liste reference'!$B$6:$B$1174,1,0)),VLOOKUP($A34,'liste reference'!$A$6:$B$1174,2,0))</f>
        <v>Lysimachia vulgaris</v>
      </c>
      <c r="E34" s="493" t="e">
        <f aca="false">IF(D34="",0,VLOOKUP(D34,D$22:D33,1,0))</f>
        <v>#N/A</v>
      </c>
      <c r="F34" s="494" t="n">
        <f aca="false">IF(AND(OR(A34="",A34="!!!!!!"),B34="",C34=""),"",IF(OR(AND(B34="",C34=""),ISERROR(C34+B34)),"!!!",($B34*$B$7+$C34*$C$7)/100))</f>
        <v>0.0405</v>
      </c>
      <c r="G34" s="495" t="str">
        <f aca="false">IF(A34="","",IF(ISERROR(VLOOKUP($A34,'liste reference'!$A$6:$Q$1174,9,0)),IF(ISERROR(VLOOKUP($A34,'liste reference'!$B$6:$Q$1174,8,0)),"    -",VLOOKUP($A34,'liste reference'!$B$6:$Q$1174,8,0)),VLOOKUP($A34,'liste reference'!$A$6:$Q$1174,9,0)))</f>
        <v>PHg</v>
      </c>
      <c r="H34" s="496" t="n">
        <f aca="false">IF(A34="","x",IF(ISERROR(VLOOKUP($A34,'liste reference'!$A$6:$Q$1174,10,0)),IF(ISERROR(VLOOKUP($A34,'liste reference'!$B$6:$Q$1174,9,0)),"x",VLOOKUP($A34,'liste reference'!$B$6:$Q$1174,9,0)),VLOOKUP($A34,'liste reference'!$A$6:$Q$1174,10,0)))</f>
        <v>9</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Lysimachia vulgaris</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1887</v>
      </c>
      <c r="R34" s="484" t="n">
        <f aca="false">IF(ISTEXT(H34),"",(B34*$B$7/100)+(C34*$C$7/100))</f>
        <v>0.0405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LYSVUL</v>
      </c>
      <c r="Z34" s="470" t="n">
        <f aca="false">IF(ISERROR(MATCH(A34,'liste reference'!$A$6:$A$1174,0)),IF(ISERROR(MATCH(A34,'liste reference'!$B$6:$B$1174,0)),"",(MATCH(A34,'liste reference'!$B$6:$B$1174,0))),(MATCH(A34,'liste reference'!$A$6:$A$1174,0)))</f>
        <v>899</v>
      </c>
    </row>
    <row r="35" customFormat="false" ht="12.75" hidden="false" customHeight="false" outlineLevel="0" collapsed="false">
      <c r="A35" s="489" t="s">
        <v>3050</v>
      </c>
      <c r="B35" s="490"/>
      <c r="C35" s="491" t="n">
        <v>0.05</v>
      </c>
      <c r="D35" s="492" t="str">
        <f aca="false">IF(ISERROR(VLOOKUP($A35,'liste reference'!$A$6:$B$1174,2,0)),IF(ISERROR(VLOOKUP($A35,'liste reference'!$B$6:$B$1174,1,0)),"",VLOOKUP($A35,'liste reference'!$B$6:$B$1174,1,0)),VLOOKUP($A35,'liste reference'!$A$6:$B$1174,2,0))</f>
        <v>Carex sp.</v>
      </c>
      <c r="E35" s="493" t="e">
        <f aca="false">IF(D35="",0,VLOOKUP(D35,D$22:D34,1,0))</f>
        <v>#N/A</v>
      </c>
      <c r="F35" s="494" t="n">
        <f aca="false">IF(AND(OR(A35="",A35="!!!!!!"),B35="",C35=""),"",IF(OR(AND(B35="",C35=""),ISERROR(C35+B35)),"!!!",($B35*$B$7+$C35*$C$7)/100))</f>
        <v>0.0095</v>
      </c>
      <c r="G35" s="495" t="str">
        <f aca="false">IF(A35="","",IF(ISERROR(VLOOKUP($A35,'liste reference'!$A$6:$Q$1174,9,0)),IF(ISERROR(VLOOKUP($A35,'liste reference'!$B$6:$Q$1174,8,0)),"    -",VLOOKUP($A35,'liste reference'!$B$6:$Q$1174,8,0)),VLOOKUP($A35,'liste reference'!$A$6:$Q$1174,9,0)))</f>
        <v>PHx</v>
      </c>
      <c r="H35" s="496" t="n">
        <f aca="false">IF(A35="","x",IF(ISERROR(VLOOKUP($A35,'liste reference'!$A$6:$Q$1174,10,0)),IF(ISERROR(VLOOKUP($A35,'liste reference'!$B$6:$Q$1174,9,0)),"x",VLOOKUP($A35,'liste reference'!$B$6:$Q$1174,9,0)),VLOOKUP($A35,'liste reference'!$A$6:$Q$1174,10,0)))</f>
        <v>10</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Carex sp.</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1466</v>
      </c>
      <c r="R35" s="484" t="n">
        <f aca="false">IF(ISTEXT(H35),"",(B35*$B$7/100)+(C35*$C$7/100))</f>
        <v>0.0095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CARSPX</v>
      </c>
      <c r="Z35" s="470" t="n">
        <f aca="false">IF(ISERROR(MATCH(A35,'liste reference'!$A$6:$A$1174,0)),IF(ISERROR(MATCH(A35,'liste reference'!$B$6:$B$1174,0)),"",(MATCH(A35,'liste reference'!$B$6:$B$1174,0))),(MATCH(A35,'liste reference'!$A$6:$A$1174,0)))</f>
        <v>1037</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12.3875</v>
      </c>
      <c r="G83" s="424"/>
      <c r="H83" s="424"/>
      <c r="I83" s="424"/>
      <c r="J83" s="424"/>
      <c r="K83" s="424"/>
      <c r="L83" s="424"/>
      <c r="M83" s="485"/>
      <c r="N83" s="485"/>
      <c r="O83" s="485"/>
      <c r="P83" s="485"/>
      <c r="Q83" s="485"/>
      <c r="R83" s="485"/>
      <c r="S83" s="485"/>
      <c r="T83" s="485"/>
      <c r="U83" s="485"/>
      <c r="V83" s="485" t="n">
        <f aca="false">SUM(V23:V82)</f>
        <v>18</v>
      </c>
      <c r="W83" s="485"/>
      <c r="X83" s="523"/>
      <c r="Y83" s="523"/>
      <c r="Z83" s="524"/>
    </row>
    <row r="84" customFormat="false" ht="12.75" hidden="true" customHeight="false" outlineLevel="0" collapsed="false">
      <c r="A84" s="518" t="str">
        <f aca="false">A3</f>
        <v>LA COLAGNE</v>
      </c>
      <c r="B84" s="453" t="str">
        <f aca="false">C3</f>
        <v>LA COLAGNE A MARVEJOLS (PONT DE LA N88 A MORIES)</v>
      </c>
      <c r="C84" s="525" t="str">
        <f aca="false">A4</f>
        <v>(Date)</v>
      </c>
      <c r="D84" s="526" t="n">
        <f aca="false">IF(OR(ISERROR(SUM($U$23:$U$82)/SUM($V$23:$V$82)),F7&lt;&gt;100),-1,SUM($U$23:$U$82)/SUM($V$23:$V$82))</f>
        <v>11.7777777777778</v>
      </c>
      <c r="E84" s="527" t="n">
        <f aca="false">O13</f>
        <v>13</v>
      </c>
      <c r="F84" s="453" t="n">
        <f aca="false">O14</f>
        <v>8</v>
      </c>
      <c r="G84" s="453" t="n">
        <f aca="false">O15</f>
        <v>3</v>
      </c>
      <c r="H84" s="453" t="n">
        <f aca="false">O16</f>
        <v>5</v>
      </c>
      <c r="I84" s="453" t="n">
        <f aca="false">O17</f>
        <v>0</v>
      </c>
      <c r="J84" s="528" t="n">
        <f aca="false">O8</f>
        <v>12</v>
      </c>
      <c r="K84" s="529" t="n">
        <f aca="false">O9</f>
        <v>2.73861278752583</v>
      </c>
      <c r="L84" s="530" t="n">
        <f aca="false">O10</f>
        <v>6</v>
      </c>
      <c r="M84" s="530" t="n">
        <f aca="false">O11</f>
        <v>15</v>
      </c>
      <c r="N84" s="529" t="n">
        <f aca="false">P8</f>
        <v>1.625</v>
      </c>
      <c r="O84" s="529" t="n">
        <f aca="false">P9</f>
        <v>0.484122918275927</v>
      </c>
      <c r="P84" s="530" t="n">
        <f aca="false">P10</f>
        <v>1</v>
      </c>
      <c r="Q84" s="530" t="n">
        <f aca="false">P11</f>
        <v>2</v>
      </c>
      <c r="R84" s="530" t="n">
        <f aca="false">F21</f>
        <v>12.3875</v>
      </c>
      <c r="S84" s="530" t="n">
        <f aca="false">L11</f>
        <v>0</v>
      </c>
      <c r="T84" s="530" t="n">
        <f aca="false">L12</f>
        <v>7</v>
      </c>
      <c r="U84" s="530" t="n">
        <f aca="false">L13</f>
        <v>1</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24</v>
      </c>
      <c r="U87" s="281"/>
      <c r="V87" s="281"/>
    </row>
    <row r="88" customFormat="false" ht="12.75" hidden="true" customHeight="false" outlineLevel="0" collapsed="false">
      <c r="C88" s="534"/>
      <c r="D88" s="534"/>
      <c r="E88" s="534"/>
      <c r="R88" s="281" t="s">
        <v>3453</v>
      </c>
      <c r="S88" s="281"/>
      <c r="T88" s="536" t="n">
        <f aca="false">VLOOKUP($T$91,($A$23:$U$82),21,0)</f>
        <v>24</v>
      </c>
      <c r="U88" s="281"/>
      <c r="V88" s="281" t="n">
        <f aca="false">COUNTIF(V23:V82,T89)</f>
        <v>2</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13.4285714285714</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3404</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2017-03-08T18:17:06Z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