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1400" sheetId="6" state="visible" r:id="rId8"/>
    <sheet name="jgjg" sheetId="7" state="hidden" r:id="rId9"/>
    <sheet name="liste codes réf" sheetId="8" state="hidden" r:id="rId10"/>
  </sheets>
  <definedNames>
    <definedName function="false" hidden="false" localSheetId="5" name="_xlnm.Print_Area" vbProcedure="false">'05101400'!$A$1:$Q$82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'05101400'!$A$1:$Q$82</definedName>
    <definedName function="false" hidden="false" localSheetId="5" name="_xlnm__FilterDatabase" vbProcedure="false">'05101400'!$A$1:$C$1415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<sst xmlns="http://schemas.openxmlformats.org/spreadsheetml/2006/main" count="8835" uniqueCount="3496">
  <si>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</si>
  <si>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</si>
  <si>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</si>
  <si>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</si>
  <si>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</si>
  <si>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</si>
  <si>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</si>
  <si>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</si>
  <si>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</si>
  <si>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</si>
  <si>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</si>
  <si>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</si>
  <si>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</si>
  <si>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</si>
  <si>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</si>
  <si>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</si>
  <si>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</si>
  <si>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</si>
  <si>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</si>
  <si>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</si>
  <si>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</si>
  <si>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</si>
  <si>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</si>
  <si>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</si>
  <si>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</si>
  <si>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</si>
  <si>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</si>
  <si>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</si>
  <si>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</si>
  <si>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</si>
  <si>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</si>
  <si>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</si>
  <si>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</si>
  <si>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</si>
  <si>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</si>
  <si>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</si>
  <si>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</si>
  <si>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</si>
  <si>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</si>
  <si>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</si>
  <si>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</si>
  <si>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</si>
  <si>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</si>
  <si>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</si>
  <si>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</si>
  <si>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</si>
  <si>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</si>
  <si>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</si>
  <si>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</si>
  <si>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</si>
  <si>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</si>
  <si>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</si>
  <si>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</si>
  <si>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</si>
  <si>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</si>
  <si>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</si>
  <si>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</si>
  <si>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</si>
  <si>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</si>
  <si>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</si>
  <si>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</si>
  <si>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</si>
  <si>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</si>
  <si>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</si>
  <si>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</si>
  <si>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</si>
  <si>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</si>
  <si>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</si>
  <si>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</si>
  <si>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</si>
  <si>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</si>
  <si>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</si>
  <si>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</si>
  <si>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</si>
  <si>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</si>
  <si>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</si>
  <si>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</si>
  <si>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</si>
  <si>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</si>
  <si>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</si>
  <si>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</si>
  <si>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</si>
  <si>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</si>
  <si>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</si>
  <si>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</si>
  <si>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</si>
  <si>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</si>
  <si>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</si>
  <si>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</si>
  <si>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</si>
  <si>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</si>
  <si>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</si>
  <si>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</si>
  <si>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</si>
  <si>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</si>
  <si>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</si>
  <si>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</si>
  <si>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</si>
  <si>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</si>
  <si>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</si>
  <si>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</si>
  <si>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</si>
  <si>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</si>
  <si>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</si>
  <si>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</si>
  <si>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</si>
  <si>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</si>
  <si>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</si>
  <si>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</si>
  <si>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</si>
  <si>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</si>
  <si>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</si>
  <si>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</si>
  <si>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</si>
  <si>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</si>
  <si>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</si>
  <si>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</si>
  <si>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</si>
  <si>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</si>
  <si>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</si>
  <si>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</si>
  <si>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</si>
  <si>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</si>
  <si>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</si>
  <si>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</si>
  <si>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</si>
  <si>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</si>
  <si>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</si>
  <si>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</si>
  <si>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</si>
  <si>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</si>
  <si>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</si>
  <si>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</si>
  <si>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</si>
  <si>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</si>
  <si>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</si>
  <si>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</si>
  <si>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</si>
  <si>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</si>
  <si>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</si>
  <si>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</si>
  <si>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</si>
  <si>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</si>
  <si>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</si>
  <si>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</si>
  <si>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</si>
  <si>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</si>
  <si>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</si>
  <si>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</si>
  <si>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</si>
  <si>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</si>
  <si>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</si>
  <si>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</si>
  <si>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</si>
  <si>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</si>
  <si>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</si>
  <si>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</si>
  <si>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</si>
  <si>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</si>
  <si>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</si>
  <si>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</si>
  <si>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</si>
  <si>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</si>
  <si>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</si>
  <si>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</si>
  <si>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</si>
  <si>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</si>
  <si>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</si>
  <si>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</si>
  <si>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</si>
  <si>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</si>
  <si>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</si>
  <si>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</si>
  <si>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</si>
  <si>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</si>
  <si>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</si>
  <si>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</si>
  <si>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</si>
  <si>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</si>
  <si>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</si>
  <si>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</si>
  <si>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</si>
  <si>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</si>
  <si>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</si>
  <si>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</si>
  <si>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</si>
  <si>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</si>
  <si>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</si>
  <si>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</si>
  <si>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</si>
  <si>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</si>
  <si>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</si>
  <si>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</si>
  <si>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</si>
  <si>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</si>
  <si>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</si>
  <si>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</si>
  <si>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</si>
  <si>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</si>
  <si>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</si>
  <si>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</si>
  <si>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</si>
  <si>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</si>
  <si>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</si>
  <si>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</si>
  <si>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</si>
  <si>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</si>
  <si>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</si>
  <si>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</si>
  <si>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</si>
  <si>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</si>
  <si>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</si>
  <si>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</si>
  <si>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</si>
  <si>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</si>
  <si>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</si>
  <si>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</si>
  <si>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</si>
  <si>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</si>
  <si>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</si>
  <si>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</si>
  <si>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</si>
  <si>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</si>
  <si>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</si>
  <si>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</si>
  <si>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</si>
  <si>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</si>
  <si>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</si>
  <si>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</si>
  <si>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</si>
  <si>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</si>
  <si>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</si>
  <si>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</si>
  <si>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</si>
  <si>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</si>
  <si>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</si>
  <si>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</si>
  <si>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</si>
  <si>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</si>
  <si>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</si>
  <si>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</si>
  <si>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</si>
  <si>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</si>
  <si>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</si>
  <si>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</si>
  <si>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</si>
  <si>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</si>
  <si>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</si>
  <si>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</si>
  <si>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</si>
  <si>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</si>
  <si>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</si>
  <si>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</si>
  <si>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</si>
  <si>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</si>
  <si>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</si>
  <si>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</si>
  <si>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</si>
  <si>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</si>
  <si>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</si>
  <si>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</si>
  <si>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</si>
  <si>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</si>
  <si>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</si>
  <si>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</si>
  <si>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</si>
  <si>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</si>
  <si>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</si>
  <si>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</si>
  <si>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</si>
  <si>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</si>
  <si>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</si>
  <si>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</si>
  <si>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</si>
  <si>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</si>
  <si>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</si>
  <si>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</si>
  <si>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</si>
  <si>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</si>
  <si>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</si>
  <si>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</si>
  <si>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</si>
  <si>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</si>
  <si>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</si>
  <si>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</si>
  <si>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</si>
  <si>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</si>
  <si>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</si>
  <si>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</si>
  <si>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</si>
  <si>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</si>
  <si>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</si>
  <si>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</si>
  <si>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</si>
  <si>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</si>
  <si>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</si>
  <si>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</si>
  <si>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</si>
  <si>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</si>
  <si>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</si>
  <si>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</si>
  <si>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</si>
  <si>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</si>
  <si>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</si>
  <si>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</si>
  <si>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</si>
  <si>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</si>
  <si>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</si>
  <si>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</si>
  <si>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</si>
  <si>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</si>
  <si>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</si>
  <si>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</si>
  <si>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</si>
  <si>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</si>
  <si>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</si>
  <si>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</si>
  <si>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</si>
  <si>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</si>
  <si>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</si>
  <si>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</si>
  <si>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</si>
  <si>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</si>
  <si>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</si>
  <si>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</si>
  <si>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</si>
  <si>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</si>
  <si>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</si>
  <si>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</si>
  <si>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</si>
  <si>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</si>
  <si>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</si>
  <si>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</si>
  <si>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</si>
  <si>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</si>
  <si>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</si>
  <si>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</si>
  <si>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</si>
  <si>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</si>
  <si>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</si>
  <si>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</si>
  <si>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</si>
  <si>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</si>
  <si>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</si>
  <si>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</si>
  <si>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</si>
  <si>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</si>
  <si>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</si>
  <si>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</si>
  <si>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</si>
  <si>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</si>
  <si>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</si>
  <si>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</si>
  <si>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</si>
  <si>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</si>
  <si>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</si>
  <si>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</si>
  <si>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</si>
  <si>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</si>
  <si>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</si>
  <si>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</si>
  <si>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</si>
  <si>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</si>
  <si>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</si>
  <si>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</si>
  <si>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</si>
  <si>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</si>
  <si>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</si>
  <si>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</si>
  <si>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</si>
  <si>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</si>
  <si>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</si>
  <si>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</si>
  <si>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</si>
  <si>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</si>
  <si>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</si>
  <si>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</si>
  <si>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</si>
  <si>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</si>
  <si>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</si>
  <si>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</si>
  <si>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</si>
  <si>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</si>
  <si>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</si>
  <si>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</si>
  <si>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</si>
  <si>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</si>
  <si>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</si>
  <si>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</si>
  <si>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</si>
  <si>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</si>
  <si>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</si>
  <si>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</si>
  <si>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</si>
  <si>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</si>
  <si>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</si>
  <si>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</si>
  <si>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</si>
  <si>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</si>
  <si>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</si>
  <si>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</si>
  <si>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</si>
  <si>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</si>
  <si>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</si>
  <si>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</si>
  <si>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</si>
  <si>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</si>
  <si>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</si>
  <si>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</si>
  <si>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</si>
  <si>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</si>
  <si>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</si>
  <si>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</si>
  <si>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</si>
  <si>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</si>
  <si>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</si>
  <si>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</si>
  <si>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</si>
  <si>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</si>
  <si>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</si>
  <si>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</si>
  <si>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</si>
  <si>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</si>
  <si>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</si>
  <si>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</si>
  <si>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</si>
  <si>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</si>
  <si>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</si>
  <si>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</si>
  <si>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</si>
  <si>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</si>
  <si>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</si>
  <si>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</si>
  <si>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</si>
  <si>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</si>
  <si>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</si>
  <si>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</si>
  <si>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</si>
  <si>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</si>
  <si>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</si>
  <si>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</si>
  <si>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</si>
  <si>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</si>
  <si>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</si>
  <si>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</si>
  <si>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</si>
  <si>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</si>
  <si>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</si>
  <si>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</si>
  <si>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</si>
  <si>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</si>
  <si>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</si>
  <si>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</si>
  <si>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</si>
  <si>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</si>
  <si>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</si>
  <si>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</si>
  <si>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</si>
  <si>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</si>
  <si>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</si>
  <si>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</si>
  <si>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</si>
  <si>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</si>
  <si>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</si>
  <si>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</si>
  <si>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</si>
  <si>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</si>
  <si>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</si>
  <si>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</si>
  <si>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</si>
  <si>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</si>
  <si>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</si>
  <si>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</si>
  <si>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</si>
  <si>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</si>
  <si>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</si>
  <si>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</si>
  <si>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</si>
  <si>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</si>
  <si>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</si>
  <si>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</si>
  <si>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</si>
  <si>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</si>
  <si>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</si>
  <si>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</si>
  <si>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</si>
  <si>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</si>
  <si>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</si>
  <si>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</si>
  <si>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</si>
  <si>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</si>
  <si>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</si>
  <si>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</si>
  <si>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</si>
  <si>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</si>
  <si>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</si>
  <si>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</si>
  <si>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</si>
  <si>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</si>
  <si>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</si>
  <si>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</si>
  <si>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</si>
  <si>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</si>
  <si>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</si>
  <si>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</si>
  <si>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</si>
  <si>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</si>
  <si>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</si>
  <si>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</si>
  <si>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</si>
  <si>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</si>
  <si>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</si>
  <si>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</si>
  <si>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</si>
  <si>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</si>
  <si>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</si>
  <si>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</si>
  <si>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</si>
  <si>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</si>
  <si>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</si>
  <si>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</si>
  <si>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</si>
  <si>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</si>
  <si>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</si>
  <si>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</si>
  <si>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</si>
  <si>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</si>
  <si>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</si>
  <si>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</si>
  <si>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</si>
  <si>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</si>
  <si>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</si>
  <si>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</si>
  <si>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</si>
  <si>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</si>
  <si>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</si>
  <si>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</si>
  <si>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</si>
  <si>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</si>
  <si>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</si>
  <si>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</si>
  <si>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</si>
  <si>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</si>
  <si>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</si>
  <si>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</si>
  <si>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</si>
  <si>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</si>
  <si>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</si>
  <si>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</si>
  <si>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</si>
  <si>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</si>
  <si>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</si>
  <si>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</si>
  <si>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</si>
  <si>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</si>
  <si>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</si>
  <si>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</si>
  <si>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</si>
  <si>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</si>
  <si>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</si>
  <si>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</si>
  <si>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</si>
  <si>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</si>
  <si>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</si>
  <si>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</si>
  <si>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</si>
  <si>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</si>
  <si>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</si>
  <si>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</si>
  <si>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</si>
  <si>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</si>
  <si>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</si>
  <si>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</si>
  <si>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</si>
  <si>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</si>
  <si>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</si>
  <si>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</si>
  <si>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</si>
  <si>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</si>
  <si>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</si>
  <si>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</si>
  <si>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</si>
  <si>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</si>
  <si>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</si>
  <si>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</si>
  <si>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</si>
  <si>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</si>
  <si>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</si>
  <si>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</si>
  <si>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</si>
  <si>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</si>
  <si>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</si>
  <si>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</si>
  <si>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</si>
  <si>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</si>
  <si>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</si>
  <si>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</si>
  <si>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</si>
  <si>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</si>
  <si>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</si>
  <si>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</si>
  <si>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</si>
  <si>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</si>
  <si>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</si>
  <si>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</si>
  <si>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</si>
  <si>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</si>
  <si>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</si>
  <si>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</si>
  <si>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</si>
  <si>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</si>
  <si>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</si>
  <si>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</si>
  <si>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</si>
  <si>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</si>
  <si>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</si>
  <si>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</si>
  <si>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</si>
  <si>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</si>
  <si>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</si>
  <si>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</si>
  <si>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</si>
  <si>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</si>
  <si>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</si>
  <si>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</si>
  <si>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</si>
  <si>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</si>
  <si>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</si>
  <si>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</si>
  <si>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</si>
  <si>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</si>
  <si>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</si>
  <si>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</si>
  <si>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</si>
  <si>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</si>
  <si>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</si>
  <si>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</si>
  <si>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</si>
  <si>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</si>
  <si>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</si>
  <si>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</si>
  <si>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</si>
  <si>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</si>
  <si>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</si>
  <si>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</si>
  <si>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</si>
  <si>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</si>
  <si>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</si>
  <si>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</si>
  <si>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</si>
  <si>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</si>
  <si>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</si>
  <si>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</si>
  <si>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</si>
  <si>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</si>
  <si>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</si>
  <si>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</si>
  <si>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</si>
  <si>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</si>
  <si>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</si>
  <si>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</si>
  <si>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</si>
  <si>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</si>
  <si>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</si>
  <si>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</si>
  <si>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</si>
  <si>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</si>
  <si>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</si>
  <si>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</si>
  <si>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</si>
  <si>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</si>
  <si>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</si>
  <si>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</si>
  <si>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</si>
  <si>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</si>
  <si>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</si>
  <si>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</si>
  <si>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</si>
  <si>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</si>
  <si>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</si>
  <si>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</si>
  <si>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</si>
  <si>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</si>
  <si>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</si>
  <si>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</si>
  <si>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</si>
  <si>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</si>
  <si>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</si>
  <si>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</si>
  <si>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</si>
  <si>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</si>
  <si>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</si>
  <si>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</si>
  <si>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</si>
  <si>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</si>
  <si>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</si>
  <si>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</si>
  <si>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</si>
  <si>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</si>
  <si>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</si>
  <si>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</si>
  <si>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</si>
  <si>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</si>
  <si>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</si>
  <si>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</si>
  <si>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</si>
  <si>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</si>
  <si>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</si>
  <si>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</si>
  <si>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</si>
  <si>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</si>
  <si>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</si>
  <si>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</si>
  <si>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</si>
  <si>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</si>
  <si>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</si>
  <si>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</si>
  <si>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</si>
  <si>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</si>
  <si>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</si>
  <si>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</si>
  <si>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</si>
  <si>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</si>
  <si>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</si>
  <si>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</si>
  <si>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</si>
  <si>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</si>
  <si>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</si>
  <si>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</si>
  <si>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</si>
  <si>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</si>
  <si>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</si>
  <si>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</si>
  <si>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</si>
  <si>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</si>
  <si>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</si>
  <si>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</si>
  <si>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</si>
  <si>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</si>
  <si>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</si>
  <si>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</si>
  <si>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</si>
  <si>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</si>
  <si>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</si>
  <si>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</si>
  <si>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</si>
  <si>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</si>
  <si>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</si>
  <si>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</si>
  <si>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</si>
  <si>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</si>
  <si>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</si>
  <si>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</si>
  <si>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</si>
  <si>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</si>
  <si>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</si>
  <si>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</si>
  <si>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</si>
  <si>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</si>
  <si>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</si>
  <si>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</si>
  <si>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</si>
  <si>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</si>
  <si>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</si>
  <si>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</si>
  <si>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</si>
  <si>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</si>
  <si>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</si>
  <si>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</si>
  <si>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</si>
  <si>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</si>
  <si>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</si>
  <si>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</si>
  <si>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</si>
  <si>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</si>
  <si>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</si>
  <si>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</si>
  <si>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</si>
  <si>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</si>
  <si>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</si>
  <si>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</si>
  <si>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</si>
  <si>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</si>
  <si>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</si>
  <si>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</si>
  <si>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</si>
  <si>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</si>
  <si>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</si>
  <si>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</si>
  <si>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</si>
  <si>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</si>
  <si>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</si>
  <si>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</si>
  <si>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</si>
  <si>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</si>
  <si>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</si>
  <si>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</si>
  <si>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</si>
  <si>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</si>
  <si>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</si>
  <si>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</si>
  <si>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</si>
  <si>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</si>
  <si>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</si>
  <si>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</si>
  <si>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</si>
  <si>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</si>
  <si>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</si>
  <si>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</si>
  <si>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</si>
  <si>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</si>
  <si>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</si>
  <si>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</si>
  <si>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</si>
  <si>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</si>
  <si>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</si>
  <si>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</si>
  <si>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</si>
  <si>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</si>
  <si>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</si>
  <si>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</si>
  <si>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</si>
  <si>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</si>
  <si>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</si>
  <si>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</si>
  <si>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</si>
  <si>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</si>
  <si>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</si>
  <si>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</si>
  <si>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</si>
  <si>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</si>
  <si>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</si>
  <si>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</si>
  <si>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</si>
  <si>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</si>
  <si>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</si>
  <si>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</si>
  <si>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</si>
  <si>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</si>
  <si>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</si>
  <si>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</si>
  <si>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</si>
  <si>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</si>
  <si>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</si>
  <si>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</si>
  <si>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</si>
  <si>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</si>
  <si>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</si>
  <si>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</si>
  <si>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</si>
  <si>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</si>
  <si>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</si>
  <si>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</si>
  <si>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</si>
  <si>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</si>
  <si>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</si>
  <si>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</si>
  <si>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</si>
  <si>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</si>
  <si>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</si>
  <si>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</si>
  <si>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</si>
  <si>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</si>
  <si>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</si>
  <si>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</si>
  <si>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</si>
  <si>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</si>
  <si>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</si>
  <si>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</si>
  <si>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</si>
  <si>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</si>
  <si>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</si>
  <si>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</si>
  <si>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</si>
  <si>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</si>
  <si>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</si>
  <si>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</si>
  <si>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</si>
  <si>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</si>
  <si>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</si>
  <si>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</si>
  <si>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</si>
  <si>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</si>
  <si>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</si>
  <si>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</si>
  <si>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</si>
  <si>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</si>
  <si>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</si>
  <si>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</si>
  <si>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</si>
  <si>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</si>
  <si>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</si>
  <si>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</si>
  <si>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</si>
  <si>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</si>
  <si>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</si>
  <si>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</si>
  <si>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</si>
  <si>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</si>
  <si>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</si>
  <si>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</si>
  <si>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</si>
  <si>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</si>
  <si>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</si>
  <si>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</si>
  <si>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</si>
  <si>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</si>
  <si>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</si>
  <si>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</si>
  <si>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</si>
  <si>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</si>
  <si>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</si>
  <si>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</si>
  <si>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</si>
  <si>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</si>
  <si>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</si>
  <si>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</si>
  <si>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</si>
  <si>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</si>
  <si>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</si>
  <si>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</si>
  <si>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</si>
  <si>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</si>
  <si>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</si>
  <si>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</si>
  <si>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</si>
  <si>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</si>
  <si>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</si>
  <si>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</si>
  <si>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</si>
  <si>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</si>
  <si>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</si>
  <si>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</si>
  <si>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</si>
  <si>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</si>
  <si>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</si>
  <si>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</si>
  <si>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</si>
  <si>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</si>
  <si>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</si>
  <si>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</si>
  <si>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</si>
  <si>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</si>
  <si>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</si>
  <si>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</si>
  <si>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</si>
  <si>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</si>
  <si>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</si>
  <si>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</si>
  <si>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</si>
  <si>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</si>
  <si>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</si>
  <si>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</si>
  <si>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</si>
  <si>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</si>
  <si>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</si>
  <si>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</si>
  <si>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</si>
  <si>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</si>
  <si>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</si>
  <si>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</si>
  <si>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</si>
  <si>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</si>
  <si>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</si>
  <si>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</si>
  <si>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</si>
  <si>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</si>
  <si>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</si>
  <si>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</si>
  <si>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</si>
  <si>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</si>
  <si>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</si>
  <si>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</si>
  <si>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</si>
  <si>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</si>
  <si>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</si>
  <si>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</si>
  <si>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</si>
  <si>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</si>
  <si>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</si>
  <si>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</si>
  <si>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</si>
  <si>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</si>
  <si>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</si>
  <si>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</si>
  <si>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</si>
  <si>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</si>
  <si>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</si>
  <si>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</si>
  <si>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</si>
  <si>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</si>
  <si>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</si>
  <si>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</si>
  <si>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</si>
  <si>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</si>
  <si>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</si>
  <si>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</si>
  <si>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</si>
  <si>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</si>
  <si>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</si>
  <si>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</si>
  <si>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</si>
  <si>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</si>
  <si>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</si>
  <si>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</si>
  <si>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</si>
  <si>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</si>
  <si>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</si>
  <si>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</si>
  <si>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</si>
  <si>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</si>
  <si>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</si>
  <si>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</si>
  <si>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</si>
  <si>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</si>
  <si>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</si>
  <si>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</si>
  <si>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</si>
  <si>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</si>
  <si>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</si>
  <si>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</si>
  <si>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</si>
  <si>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</si>
  <si>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</si>
  <si>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</si>
  <si>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</si>
  <si>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</si>
  <si>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</si>
  <si>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</si>
  <si>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</si>
  <si>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</si>
  <si>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</si>
  <si>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</si>
  <si>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</si>
  <si>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</si>
  <si>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</si>
  <si>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</si>
  <si>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</si>
  <si>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</si>
  <si>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</si>
  <si>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</si>
  <si>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</si>
  <si>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</si>
  <si>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</si>
  <si>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</si>
  <si>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</si>
  <si>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</si>
  <si>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</si>
  <si>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</si>
  <si>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</si>
  <si>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</si>
  <si>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</si>
  <si>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</si>
  <si>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</si>
  <si>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</si>
  <si>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</si>
  <si>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</si>
  <si>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</si>
  <si>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</si>
  <si>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</si>
  <si>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</si>
  <si>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</si>
  <si>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</si>
  <si>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</si>
  <si>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</si>
  <si>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</si>
  <si>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</si>
  <si>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</si>
  <si>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</si>
  <si>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</si>
  <si>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</si>
  <si>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</si>
  <si>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</si>
  <si>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</si>
  <si>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</si>
  <si>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</si>
  <si>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</si>
  <si>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</si>
  <si>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</si>
  <si>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</si>
  <si>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</si>
  <si>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</si>
  <si>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</si>
  <si>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</si>
  <si>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</si>
  <si>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</si>
  <si>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</si>
  <si>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</si>
  <si>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</si>
  <si>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</si>
  <si>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</si>
  <si>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</si>
  <si>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</si>
  <si>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</si>
  <si>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</si>
  <si>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</si>
  <si>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</si>
  <si>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</si>
  <si>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</si>
  <si>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</si>
  <si>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</si>
  <si>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</si>
  <si>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</si>
  <si>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</si>
  <si>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</si>
  <si>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</si>
  <si>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</si>
  <si>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</si>
  <si>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</si>
  <si>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</si>
  <si>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</si>
  <si>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</si>
  <si>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</si>
  <si>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</si>
  <si>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</si>
  <si>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</si>
  <si>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</si>
  <si>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</si>
  <si>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</si>
  <si>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</si>
  <si>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</si>
  <si>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</si>
  <si>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</si>
  <si>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</si>
  <si>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</si>
  <si>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</si>
  <si>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</si>
  <si>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</si>
  <si>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</si>
  <si>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</si>
  <si>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</si>
  <si>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</si>
  <si>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</si>
  <si>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</si>
  <si>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</si>
  <si>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</si>
  <si>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</si>
  <si>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</si>
  <si>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</si>
  <si>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</si>
  <si>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</si>
  <si>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</si>
  <si>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</si>
  <si>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</si>
  <si>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</si>
  <si>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</si>
  <si>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</si>
  <si>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</si>
  <si>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</si>
  <si>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</si>
  <si>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</si>
  <si>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</si>
  <si>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</si>
  <si>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</si>
  <si>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</si>
  <si>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</si>
  <si>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</si>
  <si>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</si>
  <si>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</si>
  <si>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</si>
  <si>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</si>
  <si>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</si>
  <si>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</si>
  <si>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</si>
  <si>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</si>
  <si>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</si>
  <si>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</si>
  <si>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</si>
  <si>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</si>
  <si>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</si>
  <si>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</si>
  <si>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</si>
  <si>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</si>
  <si>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</si>
  <si>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</si>
  <si>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</si>
  <si>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</si>
  <si>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</si>
  <si>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</si>
  <si>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</si>
  <si>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</si>
  <si>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</si>
  <si>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</si>
  <si>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</si>
  <si>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</si>
  <si>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</si>
  <si>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</si>
  <si>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</si>
  <si>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</si>
  <si>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</si>
  <si>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</si>
  <si>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</si>
  <si>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</si>
  <si>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</si>
  <si>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</si>
  <si>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</si>
  <si>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</si>
  <si>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</si>
  <si>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</si>
  <si>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</si>
  <si>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</si>
  <si>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</si>
  <si>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</si>
  <si>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</si>
  <si>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</si>
  <si>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</si>
  <si>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</si>
  <si>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</si>
  <si>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</si>
  <si>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</si>
  <si>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</si>
  <si>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</si>
  <si>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</si>
  <si>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</si>
  <si>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</si>
  <si>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</si>
  <si>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</si>
  <si>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</si>
  <si>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</si>
  <si>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</si>
  <si>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</si>
  <si>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</si>
  <si>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</si>
  <si>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</si>
  <si>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</si>
  <si>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</si>
  <si>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</si>
  <si>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</si>
  <si>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</si>
  <si>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</si>
  <si>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</si>
  <si>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</si>
  <si>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</si>
  <si>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</si>
  <si>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</si>
  <si>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</si>
  <si>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</si>
  <si>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</si>
  <si>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</si>
  <si>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</si>
  <si>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</si>
  <si>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</si>
  <si>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</si>
  <si>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</si>
  <si>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</si>
  <si>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</si>
  <si>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</si>
  <si>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</si>
  <si>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</si>
  <si>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</si>
  <si>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</si>
  <si>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</si>
  <si>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</si>
  <si>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</si>
  <si>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</si>
  <si>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</si>
  <si>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</si>
  <si>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</si>
  <si>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</si>
  <si>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</si>
  <si>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</si>
  <si>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</si>
  <si>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</si>
  <si>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</si>
  <si>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</si>
  <si>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</si>
  <si>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</si>
  <si>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</si>
  <si>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</si>
  <si>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</si>
  <si>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</si>
  <si>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</si>
  <si>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</si>
  <si>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</si>
  <si>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</si>
  <si>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</si>
  <si>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</si>
  <si>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</si>
  <si>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</si>
  <si>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</si>
  <si>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</si>
  <si>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</si>
  <si>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</si>
  <si>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</si>
  <si>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</si>
  <si>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</si>
  <si>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</si>
  <si>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</si>
  <si>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</si>
  <si>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</si>
  <si>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</si>
  <si>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</si>
  <si>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</si>
  <si>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</si>
  <si>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</si>
  <si>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</si>
  <si>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</si>
  <si>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</si>
  <si>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</si>
  <si>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</si>
  <si>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</si>
  <si>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</si>
  <si>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</si>
  <si>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</si>
  <si>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</si>
  <si>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</si>
  <si>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</si>
  <si>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</si>
  <si>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</si>
  <si>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</si>
  <si>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</si>
  <si>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</si>
  <si>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</si>
  <si>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</si>
  <si>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</si>
  <si>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</si>
  <si>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</si>
  <si>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</si>
  <si>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</si>
  <si>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</si>
  <si>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</si>
  <si>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</si>
  <si>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</si>
  <si>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</si>
  <si>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</si>
  <si>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</si>
  <si>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</si>
  <si>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</si>
  <si>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</si>
  <si>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</si>
  <si>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</si>
  <si>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</si>
  <si>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</si>
  <si>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</si>
  <si>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</si>
  <si>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</si>
  <si>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</si>
  <si>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</si>
  <si>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</si>
  <si>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</si>
  <si>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</si>
  <si>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</si>
  <si>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</si>
  <si>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</si>
  <si>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</si>
  <si>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</si>
  <si>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</si>
  <si>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</si>
  <si>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</si>
  <si>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</si>
  <si>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</si>
  <si>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</si>
  <si>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</si>
  <si>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</si>
  <si>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</si>
  <si>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</si>
  <si>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</si>
  <si>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</si>
  <si>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</si>
  <si>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</si>
  <si>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</si>
  <si>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</si>
  <si>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</si>
  <si>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</si>
  <si>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</si>
  <si>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</si>
  <si>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</si>
  <si>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</si>
  <si>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</si>
  <si>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</si>
  <si>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</si>
  <si>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</si>
  <si>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</si>
  <si>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</si>
  <si>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</si>
  <si>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</si>
  <si>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</si>
  <si>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</si>
  <si>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</si>
  <si>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</si>
  <si>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</si>
  <si>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</si>
  <si>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</si>
  <si>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</si>
  <si>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</si>
  <si>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</si>
  <si>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</si>
  <si>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</si>
  <si>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</si>
  <si>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</si>
  <si>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</si>
  <si>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</si>
  <si>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</si>
  <si>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</si>
  <si>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</si>
  <si>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</si>
  <si>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</si>
  <si>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</si>
  <si>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</si>
  <si>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</si>
  <si>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</si>
  <si>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</si>
  <si>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</si>
  <si>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</si>
  <si>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</si>
  <si>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</si>
  <si>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</si>
  <si>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</si>
  <si>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</si>
  <si>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</si>
  <si>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</si>
  <si>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</si>
  <si>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</si>
  <si>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</si>
  <si>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</si>
  <si>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</si>
  <si>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</si>
  <si>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</si>
  <si>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</si>
  <si>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</si>
  <si>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</si>
  <si>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</si>
  <si>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</si>
  <si>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</si>
  <si>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</si>
  <si>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</si>
  <si>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</si>
  <si>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</si>
  <si>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</si>
  <si>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</si>
  <si>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</si>
  <si>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</si>
  <si>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</si>
  <si>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</si>
  <si>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</si>
  <si>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</si>
  <si>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</si>
  <si>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</si>
  <si>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</si>
  <si>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</si>
  <si>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</si>
  <si>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</si>
  <si>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</si>
  <si>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</si>
  <si>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</si>
  <si>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</si>
  <si>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</si>
  <si>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</si>
  <si>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</si>
  <si>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</si>
  <si>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</si>
  <si>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</si>
  <si>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</si>
  <si>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</si>
  <si>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</si>
  <si>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</si>
  <si>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</si>
  <si>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</si>
  <si>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</si>
  <si>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</si>
  <si>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</si>
  <si>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</si>
  <si>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</si>
  <si>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</si>
  <si>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</si>
  <si>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</si>
  <si>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</si>
  <si>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</si>
  <si>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</si>
  <si>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</si>
  <si>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</si>
  <si>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</si>
  <si>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</si>
  <si>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</si>
  <si>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</si>
  <si>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</si>
  <si>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</si>
  <si>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</si>
  <si>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</si>
  <si>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</si>
  <si>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</si>
  <si>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</si>
  <si>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</si>
  <si>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</si>
  <si>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</si>
  <si>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</si>
  <si>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</si>
  <si>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</si>
  <si>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</si>
  <si>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</si>
  <si>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</si>
  <si>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</si>
  <si>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</si>
  <si>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</si>
  <si>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</si>
  <si>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</si>
  <si>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</si>
  <si>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</si>
  <si>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</si>
  <si>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</si>
  <si>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</si>
  <si>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</si>
  <si>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</si>
  <si>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</si>
  <si>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</si>
  <si>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</si>
  <si>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</si>
  <si>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</si>
  <si>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</si>
  <si>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</si>
  <si>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</si>
  <si>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</si>
  <si>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</si>
  <si>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</si>
  <si>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</si>
  <si>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</si>
  <si>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</si>
  <si>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</si>
  <si>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</si>
  <si>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</si>
  <si>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</si>
  <si>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</si>
  <si>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</si>
  <si>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</si>
  <si>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</si>
  <si>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</si>
  <si>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</si>
  <si>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</si>
  <si>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</si>
  <si>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</si>
  <si>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</si>
  <si>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</si>
  <si>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</si>
  <si>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</si>
  <si>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</si>
  <si>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</si>
  <si>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</si>
  <si>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</si>
  <si>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</si>
  <si>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</si>
  <si>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</si>
  <si>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</si>
  <si>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</si>
  <si>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</si>
  <si>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</si>
  <si>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</si>
  <si>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</si>
  <si>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</si>
  <si>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</si>
  <si>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</si>
  <si>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</si>
  <si>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</si>
  <si>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</si>
  <si>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</si>
  <si>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</si>
  <si>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</si>
  <si>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</si>
  <si>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</si>
  <si>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</si>
  <si>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</si>
  <si>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</si>
  <si>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</si>
  <si>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</si>
  <si>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</si>
  <si>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</si>
  <si>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</si>
  <si>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</si>
  <si>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</si>
  <si>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</si>
  <si>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</si>
  <si>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</si>
  <si>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</si>
  <si>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</si>
  <si>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</si>
  <si>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</si>
  <si>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</si>
  <si>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</si>
  <si>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</si>
  <si>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</si>
  <si>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</si>
  <si>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</si>
  <si>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</si>
  <si>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</si>
  <si>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</si>
  <si>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</si>
  <si>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</si>
  <si>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</si>
  <si>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</si>
  <si>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</si>
  <si>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</si>
  <si>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</si>
  <si>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</si>
  <si>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</si>
  <si>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</si>
  <si>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</si>
  <si>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</si>
  <si>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</si>
  <si>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</si>
  <si>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</si>
  <si>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</si>
  <si>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</si>
  <si>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</si>
  <si>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</si>
  <si>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</si>
  <si>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</si>
  <si>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</si>
  <si>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</si>
  <si>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</si>
  <si>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</si>
  <si>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</si>
  <si>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</si>
  <si>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</si>
  <si>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</si>
  <si>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</si>
  <si>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</si>
  <si>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</si>
  <si>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</si>
  <si>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</si>
  <si>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</si>
  <si>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</si>
  <si>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</si>
  <si>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</si>
  <si>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</si>
  <si>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</si>
  <si>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</si>
  <si>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</si>
  <si>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</si>
  <si>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</si>
  <si>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</si>
  <si>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</si>
  <si>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</si>
  <si>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</si>
  <si>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</si>
  <si>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</si>
  <si>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</si>
  <si>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</si>
  <si>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</si>
  <si>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</si>
  <si>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</si>
  <si>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</si>
  <si>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</si>
  <si>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</si>
  <si>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</si>
  <si>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</si>
  <si>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</si>
  <si>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</si>
  <si>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</si>
  <si>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</si>
  <si>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</si>
  <si>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</si>
  <si>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</si>
  <si>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</si>
  <si>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</si>
  <si>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</si>
  <si>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</si>
  <si>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</si>
  <si>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</si>
  <si>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</si>
  <si>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</si>
  <si>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</si>
  <si>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</si>
  <si>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</si>
  <si>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</si>
  <si>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</si>
  <si>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</si>
  <si>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</si>
  <si>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</si>
  <si>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</si>
  <si>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</si>
  <si>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</si>
  <si>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</si>
  <si>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</si>
  <si>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</si>
  <si>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</si>
  <si>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</si>
  <si>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</si>
  <si>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</si>
  <si>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</si>
  <si>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</si>
  <si>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</si>
  <si>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</si>
  <si>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</si>
  <si>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</si>
  <si>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</si>
  <si>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</si>
  <si>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</si>
  <si>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</si>
  <si>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</si>
  <si>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</si>
  <si>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</si>
  <si>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</si>
  <si>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</si>
  <si>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</si>
  <si>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</si>
  <si>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</si>
  <si>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</si>
  <si>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</si>
  <si>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</si>
  <si>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</si>
  <si>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</si>
  <si>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</si>
  <si>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</si>
  <si>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</si>
  <si>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</si>
  <si>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</si>
  <si>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</si>
  <si>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</si>
  <si>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</si>
  <si>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</si>
  <si>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</si>
  <si>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</si>
  <si>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</si>
  <si>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</si>
  <si>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</si>
  <si>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</si>
  <si>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</si>
  <si>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</si>
  <si>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</si>
  <si>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</si>
  <si>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</si>
  <si>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</si>
  <si>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</si>
  <si>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</si>
  <si>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</si>
  <si>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</si>
  <si>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</si>
  <si>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</si>
  <si>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</si>
  <si>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</si>
  <si>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</si>
  <si>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</si>
  <si>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</si>
  <si>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</si>
  <si>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</si>
  <si>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</si>
  <si>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</si>
  <si>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</si>
  <si>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</si>
  <si>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</si>
  <si>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</si>
  <si>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</si>
  <si>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</si>
  <si>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</si>
  <si>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</si>
  <si>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</si>
  <si>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</si>
  <si>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</si>
  <si>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</si>
  <si>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</si>
  <si>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</si>
  <si>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</si>
  <si>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</si>
  <si>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</si>
  <si>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</si>
  <si>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</si>
  <si>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</si>
  <si>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</si>
  <si>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</si>
  <si>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</si>
  <si>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</si>
  <si>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</si>
  <si>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</si>
  <si>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</si>
  <si>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</si>
  <si>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</si>
  <si>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</si>
  <si>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</si>
  <si>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</si>
  <si>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</si>
  <si>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</si>
  <si>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</si>
  <si>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</si>
  <si>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</si>
  <si>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</si>
  <si>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</si>
  <si>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</si>
  <si>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</si>
  <si>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</si>
  <si>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</si>
  <si>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</si>
  <si>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</si>
  <si>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</si>
  <si>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</si>
  <si>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</si>
  <si>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</si>
  <si>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</si>
  <si>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</si>
  <si>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</si>
  <si>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</si>
  <si>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</si>
  <si>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</si>
  <si>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</si>
  <si>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</si>
  <si>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</si>
  <si>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</si>
  <si>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</si>
  <si>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</si>
  <si>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</si>
  <si>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</si>
  <si>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</si>
  <si>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</si>
  <si>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</si>
  <si>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</si>
  <si>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</si>
  <si>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</si>
  <si>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</si>
  <si>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</si>
  <si>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</si>
  <si>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</si>
  <si>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</si>
  <si>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</si>
  <si>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</si>
  <si>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</si>
  <si>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</si>
  <si>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</si>
  <si>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</si>
  <si>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</si>
  <si>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</si>
  <si>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</si>
  <si>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</si>
  <si>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</si>
  <si>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</si>
  <si>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</si>
  <si>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</si>
  <si>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</si>
  <si>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</si>
  <si>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</si>
  <si>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</si>
  <si>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</si>
  <si>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</si>
  <si>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</si>
  <si>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</si>
  <si>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</si>
  <si>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</si>
  <si>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</si>
  <si>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</si>
  <si>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</si>
  <si>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</si>
  <si>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</si>
  <si>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</si>
  <si>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</si>
  <si>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</si>
  <si>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</si>
  <si>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</si>
  <si>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</si>
  <si>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</si>
  <si>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</si>
  <si>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</si>
  <si>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</si>
  <si>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</si>
  <si>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</si>
  <si>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</si>
  <si>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</si>
  <si>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</si>
  <si>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</si>
  <si>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</si>
  <si>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</si>
  <si>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</si>
  <si>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</si>
  <si>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</si>
  <si>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</si>
  <si>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</si>
  <si>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</si>
  <si>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</si>
  <si>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</si>
  <si>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</si>
  <si>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</si>
  <si>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</si>
  <si>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</si>
  <si>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</si>
  <si>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</si>
  <si>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</si>
  <si>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</si>
  <si>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</si>
  <si>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</si>
  <si>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</si>
  <si>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</si>
  <si>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</si>
  <si>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</si>
  <si>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</si>
  <si>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</si>
  <si>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</si>
  <si>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</si>
  <si>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</si>
  <si>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</si>
  <si>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</si>
  <si>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</si>
  <si>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</si>
  <si>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</si>
  <si>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</si>
  <si>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</si>
  <si>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</si>
  <si>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</si>
  <si>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</si>
  <si>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</si>
  <si>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</si>
  <si>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</si>
  <si>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</si>
  <si>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</si>
  <si>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</si>
  <si>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</si>
  <si>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</si>
  <si>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</si>
  <si>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</si>
  <si>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</si>
  <si>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</si>
  <si>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</si>
  <si>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</si>
  <si>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</si>
  <si>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</si>
  <si>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</si>
  <si>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</si>
  <si>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</si>
  <si>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</si>
  <si>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</si>
  <si>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</si>
  <si>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</si>
  <si>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</si>
  <si>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</si>
  <si>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</si>
  <si>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</si>
  <si>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</si>
  <si>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</si>
  <si>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</si>
  <si>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</si>
  <si>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</si>
  <si>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</si>
  <si>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</si>
  <si>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</si>
  <si>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</si>
  <si>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</si>
  <si>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</si>
  <si>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</si>
  <si>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</si>
  <si>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</si>
  <si>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</si>
  <si>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</si>
  <si>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</si>
  <si>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</si>
  <si>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</si>
  <si>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</si>
  <si>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</si>
  <si>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</si>
  <si>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</si>
  <si>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</si>
  <si>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</si>
  <si>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</si>
  <si>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</si>
  <si>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</si>
  <si>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</si>
  <si>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</si>
  <si>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</si>
  <si>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</si>
  <si>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</si>
  <si>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</si>
  <si>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</si>
  <si>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</si>
  <si>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</si>
  <si>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</si>
  <si>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</si>
  <si>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</si>
  <si>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</si>
  <si>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</si>
  <si>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</si>
  <si>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</si>
  <si>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</si>
  <si>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</si>
  <si>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</si>
  <si>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</si>
  <si>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</si>
  <si>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</si>
  <si>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</si>
  <si>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</si>
  <si>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</si>
  <si>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</si>
  <si>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</si>
  <si>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</si>
  <si>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</si>
  <si>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</si>
  <si>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</si>
  <si>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</si>
  <si>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</si>
  <si>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</si>
  <si>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</si>
  <si>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</si>
  <si>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</si>
  <si>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</si>
  <si>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</si>
  <si>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</si>
  <si>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</si>
  <si>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</si>
  <si>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</si>
  <si>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</si>
  <si>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</si>
  <si>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</si>
  <si>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</si>
  <si>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</si>
  <si>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</si>
  <si>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</si>
  <si>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</si>
  <si>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</si>
  <si>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</si>
  <si>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</si>
  <si>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</si>
  <si>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</si>
  <si>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</si>
  <si>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</si>
  <si>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</si>
  <si>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</si>
  <si>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</si>
  <si>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</si>
  <si>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</si>
  <si>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</si>
  <si>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</si>
  <si>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</si>
  <si>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</si>
  <si>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</si>
  <si>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</si>
  <si>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</si>
  <si>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</si>
  <si>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</si>
  <si>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</si>
  <si>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</si>
  <si>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</si>
  <si>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</si>
  <si>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</si>
  <si>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</si>
  <si>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</si>
  <si>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</si>
  <si>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</si>
  <si>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</si>
  <si>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</si>
  <si>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</si>
  <si>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</si>
  <si>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</si>
  <si>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</si>
  <si>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</si>
  <si>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</si>
  <si>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</si>
  <si>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</si>
  <si>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</si>
  <si>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</si>
  <si>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</si>
  <si>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</si>
  <si>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</si>
  <si>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</si>
  <si>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</si>
  <si>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</si>
  <si>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</si>
  <si>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</si>
  <si>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</si>
  <si>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</si>
  <si>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</si>
  <si>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</si>
  <si>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</si>
  <si>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</si>
  <si>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</si>
  <si>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</si>
  <si>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</si>
  <si>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</si>
  <si>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</si>
  <si>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</si>
  <si>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</si>
  <si>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</si>
  <si>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</si>
  <si>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</si>
  <si>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</si>
  <si>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</si>
  <si>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</si>
  <si>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</si>
  <si>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</si>
  <si>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</si>
  <si>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</si>
  <si>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</si>
  <si>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</si>
  <si>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</si>
  <si>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</si>
  <si>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</si>
  <si>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</si>
  <si>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</si>
  <si>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</si>
  <si>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</si>
  <si>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</si>
  <si>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</si>
  <si>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</si>
  <si>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</si>
  <si>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</si>
  <si>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</si>
  <si>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</si>
  <si>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</si>
  <si>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</si>
  <si>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</si>
  <si>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</si>
  <si>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</si>
  <si>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</si>
  <si>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</si>
  <si>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</si>
  <si>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</si>
  <si>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</si>
  <si>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</si>
  <si>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</si>
  <si>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</si>
  <si>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</si>
  <si>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</si>
  <si>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</si>
  <si>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</si>
  <si>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</si>
  <si>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</si>
  <si>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</si>
  <si>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</si>
  <si>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</si>
  <si>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</si>
  <si>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</si>
  <si>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</si>
  <si>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</si>
  <si>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</si>
  <si>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</si>
  <si>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</si>
  <si>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</si>
  <si>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</si>
  <si>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</si>
  <si>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</si>
  <si>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</si>
  <si>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</si>
  <si>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</si>
  <si>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</si>
  <si>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</si>
  <si>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</si>
  <si>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</si>
  <si>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</si>
  <si>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</si>
  <si>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</si>
  <si>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</si>
  <si>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</si>
  <si>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</si>
  <si>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</si>
  <si>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</si>
  <si>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</si>
  <si>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</si>
  <si>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</si>
  <si>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</si>
  <si>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</si>
  <si>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</si>
  <si>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</si>
  <si>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</si>
  <si>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</si>
  <si>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</si>
  <si>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</si>
  <si>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</si>
  <si>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</si>
  <si>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</si>
  <si>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</si>
  <si>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</si>
  <si>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</si>
  <si>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</si>
  <si>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</si>
  <si>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</si>
  <si>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</si>
  <si>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</si>
  <si>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</si>
  <si>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</si>
  <si>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</si>
  <si>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</si>
  <si>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</si>
  <si>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</si>
  <si>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</si>
  <si>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</si>
  <si>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</si>
  <si>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</si>
  <si>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</si>
  <si>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</si>
  <si>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</si>
  <si>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</si>
  <si>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</si>
  <si>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</si>
  <si>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</si>
  <si>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</si>
  <si>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</si>
  <si>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</si>
  <si>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</si>
  <si>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</si>
  <si>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</si>
  <si>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</si>
  <si>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</si>
  <si>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</si>
  <si>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</si>
  <si>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</si>
  <si>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</si>
  <si>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</si>
  <si>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</si>
  <si>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</si>
  <si>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</si>
  <si>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</si>
  <si>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</si>
  <si>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</si>
  <si>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</si>
  <si>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</si>
  <si>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</si>
  <si>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</si>
  <si>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</si>
  <si>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</si>
  <si>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</si>
  <si>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</si>
  <si>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</si>
  <si>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</si>
  <si>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</si>
  <si>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</si>
  <si>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</si>
  <si>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</si>
  <si>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</si>
  <si>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</si>
  <si>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</si>
  <si>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</si>
  <si>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</si>
  <si>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</si>
  <si>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</si>
  <si>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</si>
  <si>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</si>
  <si>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</si>
  <si>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</si>
  <si>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</si>
  <si>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</si>
  <si>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</si>
  <si>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</si>
  <si>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</si>
  <si>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</si>
  <si>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</si>
  <si>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</si>
  <si>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</si>
  <si>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</si>
  <si>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</si>
  <si>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</si>
  <si>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</si>
  <si>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</si>
  <si>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</si>
  <si>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</si>
  <si>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</si>
  <si>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</si>
  <si>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</si>
  <si>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</si>
  <si>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</si>
  <si>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</si>
  <si>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</si>
  <si>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</si>
  <si>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</si>
  <si>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</si>
  <si>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</si>
  <si>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</si>
  <si>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</si>
  <si>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</si>
  <si>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</si>
  <si>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</si>
  <si>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</si>
  <si>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</si>
  <si>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</si>
  <si>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</si>
  <si>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</si>
  <si>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</si>
  <si>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</si>
  <si>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</si>
  <si>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</si>
  <si>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</si>
  <si>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</si>
  <si>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</si>
  <si>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</si>
  <si>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</si>
  <si>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</si>
  <si>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</si>
  <si>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</si>
  <si>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</si>
  <si>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</si>
  <si>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</si>
  <si>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</si>
  <si>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</si>
  <si>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</si>
  <si>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</si>
  <si>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</si>
  <si>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</si>
  <si>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</si>
  <si>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</si>
  <si>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</si>
  <si>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</si>
  <si>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</si>
  <si>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</si>
  <si>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</si>
  <si>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</si>
  <si>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</si>
  <si>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</si>
  <si>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</si>
  <si>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</si>
  <si>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</si>
  <si>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</si>
  <si>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</si>
  <si>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</si>
  <si>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</si>
  <si>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</si>
  <si>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</si>
  <si>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</si>
  <si>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</si>
  <si>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</si>
  <si>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</si>
  <si>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</si>
  <si>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</si>
  <si>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</si>
  <si>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</si>
  <si>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</si>
  <si>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</si>
  <si>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</si>
  <si>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</si>
  <si>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</si>
  <si>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</si>
  <si>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</si>
  <si>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</si>
  <si>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</si>
  <si>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</si>
  <si>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</si>
  <si>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</si>
  <si>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</si>
  <si>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</si>
  <si>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</si>
  <si>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</si>
  <si>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</si>
  <si>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</si>
  <si>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</si>
  <si>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</si>
  <si>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</si>
  <si>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</si>
  <si>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</si>
  <si>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</si>
  <si>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</si>
  <si>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</si>
  <si>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</si>
  <si>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</si>
  <si>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</si>
  <si>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</si>
  <si>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</si>
  <si>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</si>
  <si>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</si>
  <si>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</si>
  <si>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</si>
  <si>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</si>
  <si>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</si>
  <si>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</si>
  <si>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</si>
  <si>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</si>
  <si>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</si>
  <si>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</si>
  <si>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</si>
  <si>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</si>
  <si>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</si>
  <si>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</si>
  <si>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</si>
  <si>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</si>
  <si>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</si>
  <si>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</si>
  <si>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</si>
  <si>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</si>
  <si>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</si>
  <si>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</si>
  <si>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</si>
  <si>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</si>
  <si>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</si>
  <si>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</si>
  <si>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</si>
  <si>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</si>
  <si>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</si>
  <si>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</si>
  <si>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</si>
  <si>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</si>
  <si>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</si>
  <si>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</si>
  <si>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</si>
  <si>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</si>
  <si>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</si>
  <si>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</si>
  <si>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</si>
  <si>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</si>
  <si>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</si>
  <si>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</si>
  <si>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</si>
  <si>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</si>
  <si>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</si>
  <si>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</si>
  <si>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</si>
  <si>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</si>
  <si>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</si>
  <si>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</si>
  <si>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</si>
  <si>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</si>
  <si>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</si>
  <si>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</si>
  <si>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</si>
  <si>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</si>
  <si>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</si>
  <si>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</si>
  <si>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</si>
  <si>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</si>
  <si>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</si>
  <si>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</si>
  <si>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</si>
  <si>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</si>
  <si>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</si>
  <si>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</si>
  <si>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</si>
  <si>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</si>
  <si>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</si>
  <si>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</si>
  <si>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</si>
  <si>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</si>
  <si>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</si>
  <si>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</si>
  <si>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</si>
  <si>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</si>
  <si>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</si>
  <si>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</si>
  <si>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</si>
  <si>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</si>
  <si>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</si>
  <si>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</si>
  <si>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</si>
  <si>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</si>
  <si>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</si>
  <si>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</si>
  <si>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</si>
  <si>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</si>
  <si>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</si>
  <si>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</si>
  <si>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</si>
  <si>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</si>
  <si>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</si>
  <si>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</si>
  <si>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</si>
  <si>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</si>
  <si>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</si>
  <si>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</si>
  <si>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</si>
  <si>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</si>
  <si>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</si>
  <si>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</si>
  <si>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</si>
  <si>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</si>
  <si>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</si>
  <si>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</si>
  <si>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</si>
  <si>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</si>
  <si>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</si>
  <si>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</si>
  <si>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</si>
  <si>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</si>
  <si>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</si>
  <si>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</si>
  <si>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</si>
  <si>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</si>
  <si>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</si>
  <si>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</si>
  <si>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</si>
  <si>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</si>
  <si>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</si>
  <si>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</si>
  <si>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</si>
  <si>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</si>
  <si>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</si>
  <si>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</si>
  <si>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</si>
  <si>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</si>
  <si>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</si>
  <si>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</si>
  <si>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</si>
  <si>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</si>
  <si>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</si>
  <si>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</si>
  <si>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</si>
  <si>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</si>
  <si>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</si>
  <si>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</si>
  <si>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</si>
  <si>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</si>
  <si>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</si>
  <si>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</si>
  <si>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</si>
  <si>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</si>
  <si>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</si>
  <si>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</si>
  <si>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</si>
  <si>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</si>
  <si>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</si>
  <si>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</si>
  <si>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</si>
  <si>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</si>
  <si>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</si>
  <si>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</si>
  <si>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</si>
  <si>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</si>
  <si>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</si>
  <si>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</si>
  <si>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</si>
  <si>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</si>
  <si>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</si>
  <si>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</si>
  <si>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</si>
  <si>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</si>
  <si>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</si>
  <si>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</si>
  <si>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</si>
  <si>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</si>
  <si>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</si>
  <si>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</si>
  <si>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</si>
  <si>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</si>
  <si>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</si>
  <si>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</si>
  <si>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</si>
  <si>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</si>
  <si>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</si>
  <si>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</si>
  <si>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</si>
  <si>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</si>
  <si>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</si>
  <si>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</si>
  <si>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</si>
  <si>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</si>
  <si>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</si>
  <si>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</si>
  <si>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</si>
  <si>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</si>
  <si>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</si>
  <si>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</si>
  <si>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</si>
  <si>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</si>
  <si>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</si>
  <si>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</si>
  <si>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</si>
  <si>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</si>
  <si>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</si>
  <si>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</si>
  <si>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</si>
  <si>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</si>
  <si>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</si>
  <si>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</si>
  <si>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</si>
  <si>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</si>
  <si>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</si>
  <si>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</si>
  <si>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</si>
  <si>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</si>
  <si>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</si>
  <si>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</si>
  <si>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</si>
  <si>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</si>
  <si>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</si>
  <si>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</si>
  <si>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</si>
  <si>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</si>
  <si>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</si>
  <si>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</si>
  <si>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</si>
  <si>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</si>
  <si>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</si>
  <si>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</si>
  <si>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</si>
  <si>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</si>
  <si>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</si>
  <si>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</si>
  <si>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</si>
  <si>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</si>
  <si>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</si>
  <si>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</si>
  <si>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</si>
  <si>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</si>
  <si>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</si>
  <si>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</si>
  <si>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</si>
  <si>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</si>
  <si>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</si>
  <si>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</si>
  <si>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</si>
  <si>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</si>
  <si>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</si>
  <si>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</si>
  <si>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</si>
  <si>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</si>
  <si>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</si>
  <si>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</si>
  <si>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</si>
  <si>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</si>
  <si>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</si>
  <si>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</si>
  <si>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</si>
  <si>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</si>
  <si>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</si>
  <si>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</si>
  <si>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</si>
  <si>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</si>
  <si>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</si>
  <si>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</si>
  <si>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</si>
  <si>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</si>
  <si>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</si>
  <si>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</si>
  <si>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</si>
  <si>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</si>
  <si>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</si>
  <si>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</si>
  <si>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</si>
  <si>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</si>
  <si>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</si>
  <si>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</si>
  <si>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</si>
  <si>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</si>
  <si>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</si>
  <si>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</si>
  <si>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</si>
  <si>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</si>
  <si>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</si>
  <si>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</si>
  <si>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</si>
  <si>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</si>
  <si>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</si>
  <si>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</si>
  <si>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</si>
  <si>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</si>
  <si>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</si>
  <si>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</si>
  <si>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</si>
  <si>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</si>
  <si>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</si>
  <si>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</si>
  <si>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</si>
  <si>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</si>
  <si>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</si>
  <si>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</si>
  <si>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</si>
  <si>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</si>
  <si>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</si>
  <si>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</si>
  <si>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</si>
  <si>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</si>
  <si>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</si>
  <si>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</si>
  <si>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</si>
  <si>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</si>
  <si>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</si>
  <si>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</si>
  <si>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</si>
  <si>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</si>
  <si>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</si>
  <si>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</si>
  <si>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</si>
  <si>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</si>
  <si>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</si>
  <si>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</si>
  <si>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</si>
  <si>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</si>
  <si>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</si>
  <si>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</si>
  <si>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</si>
  <si>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</si>
  <si>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</si>
  <si>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</si>
  <si>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</si>
  <si>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</si>
  <si>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</si>
  <si>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</si>
  <si>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</si>
  <si>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</si>
  <si>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</si>
  <si>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</si>
  <si>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</si>
  <si>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</si>
  <si>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</si>
  <si>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</si>
  <si>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</si>
  <si>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</si>
  <si>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</si>
  <si>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</si>
  <si>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</si>
  <si>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</si>
  <si>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</si>
  <si>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</si>
  <si>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</si>
  <si>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</si>
  <si>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</si>
  <si>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</si>
  <si>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</si>
  <si>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</si>
  <si>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</si>
  <si>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</si>
  <si>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</si>
  <si>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</si>
  <si>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</si>
  <si>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</si>
  <si>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</si>
  <si>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</si>
  <si>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</si>
  <si>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</si>
  <si>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</si>
  <si>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</si>
  <si>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</si>
  <si>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</si>
  <si>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</si>
  <si>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</si>
  <si>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</si>
  <si>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</si>
  <si>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</si>
  <si>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</si>
  <si>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</si>
  <si>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</si>
  <si>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</si>
  <si>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</si>
  <si>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</si>
  <si>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</si>
  <si>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</si>
  <si>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</si>
  <si>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</si>
  <si>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</si>
  <si>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</si>
  <si>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</si>
  <si>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</si>
  <si>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</si>
  <si>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</si>
  <si>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</si>
  <si>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</si>
  <si>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</si>
  <si>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</si>
  <si>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</si>
  <si>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</si>
  <si>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</si>
  <si>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</si>
  <si>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</si>
  <si>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</si>
  <si>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</si>
  <si>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</si>
  <si>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</si>
  <si>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</si>
  <si>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</si>
  <si>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</si>
  <si>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</si>
  <si>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</si>
  <si>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</si>
  <si>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</si>
  <si>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</si>
  <si>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</si>
  <si>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</si>
  <si>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</si>
  <si>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</si>
  <si>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</si>
  <si>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</si>
  <si>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</si>
  <si>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</si>
  <si>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</si>
  <si>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</si>
  <si>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</si>
  <si>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</si>
  <si>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</si>
  <si>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</si>
  <si>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</si>
  <si>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</si>
  <si>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</si>
  <si>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</si>
  <si>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</si>
  <si>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</si>
  <si>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</si>
  <si>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</si>
  <si>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</si>
  <si>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</si>
  <si>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</si>
  <si>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</si>
  <si>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</si>
  <si>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</si>
  <si>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</si>
  <si>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</si>
  <si>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</si>
  <si>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</si>
  <si>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</si>
  <si>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</si>
  <si>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</si>
  <si>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</si>
  <si>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</si>
  <si>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</si>
  <si>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</si>
  <si>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</si>
  <si>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</si>
  <si>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</si>
  <si>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</si>
  <si>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</si>
  <si>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</si>
  <si>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</si>
  <si>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</si>
  <si>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</si>
  <si>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</si>
  <si>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</si>
  <si>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</si>
  <si>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</si>
  <si>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</si>
  <si>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</si>
  <si>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</si>
  <si>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</si>
  <si>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</si>
  <si>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</si>
  <si>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</si>
  <si>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</si>
  <si>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</si>
  <si>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</si>
  <si>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</si>
  <si>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</si>
  <si>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</si>
  <si>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</si>
  <si>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</si>
  <si>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</si>
  <si>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</si>
  <si>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</si>
  <si>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</si>
  <si>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</si>
  <si>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</si>
  <si>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</si>
  <si>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</si>
  <si>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</si>
  <si>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</si>
  <si>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</si>
  <si>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</si>
  <si>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</si>
  <si>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</si>
  <si>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</si>
  <si>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</si>
  <si>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</si>
  <si>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</si>
  <si>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</si>
  <si>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</si>
  <si>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</si>
  <si>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</si>
  <si>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</si>
  <si>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</si>
  <si>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</si>
  <si>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</si>
  <si>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</si>
  <si>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</si>
  <si>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</si>
  <si>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</si>
  <si>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</si>
  <si>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</si>
  <si>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</si>
  <si>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</si>
  <si>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</si>
  <si>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</si>
  <si>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</si>
  <si>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</si>
  <si>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</si>
  <si>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</si>
  <si>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</si>
  <si>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</si>
  <si>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</si>
  <si>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</si>
  <si>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</si>
  <si>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</si>
  <si>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</si>
  <si>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</si>
  <si>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</si>
  <si>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</si>
  <si>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</si>
  <si>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</si>
  <si>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</si>
  <si>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</si>
  <si>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</si>
  <si>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</si>
  <si>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</si>
  <si>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</si>
  <si>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</si>
  <si>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</si>
  <si>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</si>
  <si>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</si>
  <si>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</si>
  <si>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</si>
  <si>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</si>
  <si>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</si>
  <si>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</si>
  <si>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</si>
  <si>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</si>
  <si>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</si>
  <si>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</si>
  <si>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</si>
  <si>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</si>
  <si>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</si>
  <si>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</si>
  <si>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</si>
  <si>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</si>
  <si>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</si>
  <si>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</si>
  <si>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</si>
  <si>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</si>
  <si>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</si>
  <si>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</si>
  <si>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</si>
  <si>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</si>
  <si>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</si>
  <si>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</si>
  <si>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</si>
  <si>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</si>
  <si>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</si>
  <si>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</si>
  <si>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</si>
  <si>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</si>
  <si>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</si>
  <si>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</si>
  <si>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</si>
  <si>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</si>
  <si>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</si>
  <si>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</si>
  <si>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</si>
  <si>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</si>
  <si>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</si>
  <si>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</si>
  <si>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</si>
  <si>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</si>
  <si>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</si>
  <si>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</si>
  <si>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</si>
  <si>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</si>
  <si>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</si>
  <si>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</si>
  <si>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</si>
  <si>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</si>
  <si>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</si>
  <si>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</si>
  <si>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</si>
  <si>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</si>
  <si>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</si>
  <si>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</si>
  <si>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</si>
  <si>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</si>
  <si>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</si>
  <si>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</si>
  <si>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</si>
  <si>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</si>
  <si>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</si>
  <si>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</si>
  <si>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</si>
  <si>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</si>
  <si>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</si>
  <si>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</si>
  <si>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</si>
  <si>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</si>
  <si>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</si>
  <si>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</si>
  <si>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</si>
  <si>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</si>
  <si>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</si>
  <si>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</si>
  <si>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</si>
  <si>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</si>
  <si>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</si>
  <si>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</si>
  <si>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</si>
  <si>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</si>
  <si>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</si>
  <si>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</si>
  <si>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</si>
  <si>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</si>
  <si>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</si>
  <si>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</si>
  <si>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</si>
  <si>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</si>
  <si>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</si>
  <si>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</si>
  <si>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</si>
  <si>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</si>
  <si>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</si>
  <si>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</si>
  <si>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</si>
  <si>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</si>
  <si>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</si>
  <si>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</si>
  <si>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</si>
  <si>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</si>
  <si>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</si>
  <si>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</si>
  <si>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</si>
  <si>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</si>
  <si>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</si>
  <si>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</si>
  <si>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</si>
  <si>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</si>
  <si>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</si>
  <si>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</si>
  <si>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</si>
  <si>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</si>
  <si>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</si>
  <si>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</si>
  <si>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</si>
  <si>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</si>
  <si>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</si>
  <si>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</si>
  <si>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</si>
  <si>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</si>
  <si>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</si>
  <si>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</si>
  <si>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</si>
  <si>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</si>
  <si>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</si>
  <si>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</si>
  <si>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</si>
  <si>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</si>
  <si>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</si>
  <si>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</si>
  <si>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</si>
  <si>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</si>
  <si>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</si>
  <si>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</si>
  <si>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</si>
  <si>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</si>
  <si>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</si>
  <si>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</si>
  <si>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</si>
  <si>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</si>
  <si>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</si>
  <si>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</si>
  <si>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</si>
  <si>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</si>
  <si>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</si>
  <si>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</si>
  <si>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</si>
  <si>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</si>
  <si>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</si>
  <si>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</si>
  <si>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</si>
  <si>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</si>
  <si>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</si>
  <si>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</si>
  <si>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</si>
  <si>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</si>
  <si>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</si>
  <si>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</si>
  <si>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</si>
  <si>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</si>
  <si>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</si>
  <si>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</si>
  <si>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</si>
  <si>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</si>
  <si>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</si>
  <si>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</si>
  <si>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</si>
  <si>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</si>
  <si>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</si>
  <si>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</si>
  <si>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</si>
  <si>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</si>
  <si>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</si>
  <si>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</si>
  <si>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</si>
  <si>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</si>
  <si>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</si>
  <si>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</si>
  <si>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</si>
  <si>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</si>
  <si>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</si>
  <si>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</si>
  <si>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</si>
  <si>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</si>
  <si>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</si>
  <si>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</si>
  <si>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</si>
  <si>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</si>
  <si>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</si>
  <si>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</si>
  <si>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</si>
  <si>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</si>
  <si>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</si>
  <si>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</si>
  <si>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</si>
  <si>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</si>
  <si>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</si>
  <si>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</si>
  <si>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</si>
  <si>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</si>
  <si>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</si>
  <si>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</si>
  <si>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</si>
  <si>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</si>
  <si>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</si>
  <si>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</si>
  <si>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</si>
  <si>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</si>
  <si>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</si>
  <si>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</si>
  <si>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</si>
  <si>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</si>
  <si>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</si>
  <si>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</si>
  <si>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</si>
  <si>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</si>
  <si>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</si>
  <si>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</si>
  <si>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</si>
  <si>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</si>
  <si>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</si>
  <si>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</si>
  <si>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</si>
  <si>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</si>
  <si>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</si>
  <si>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</si>
  <si>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</si>
  <si>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</si>
  <si>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</si>
  <si>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</si>
  <si>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</si>
  <si>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</si>
  <si>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</si>
  <si>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</si>
  <si>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</si>
  <si>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</si>
  <si>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</si>
  <si>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</si>
  <si>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</si>
  <si>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</si>
  <si>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</si>
  <si>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</si>
  <si>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</si>
  <si>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</si>
  <si>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</si>
  <si>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</si>
  <si>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</si>
  <si>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</si>
  <si>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</si>
  <si>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</si>
  <si>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</si>
  <si>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</si>
  <si>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</si>
  <si>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</si>
  <si>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</si>
  <si>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</si>
  <si>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</si>
  <si>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</si>
  <si>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</si>
  <si>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</si>
  <si>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</si>
  <si>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</si>
  <si>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</si>
  <si>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</si>
  <si>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</si>
  <si>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</si>
  <si>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</si>
  <si>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</si>
  <si>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</si>
  <si>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</si>
  <si>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</si>
  <si>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</si>
  <si>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</si>
  <si>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</si>
  <si>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</si>
  <si>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</si>
  <si>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</si>
  <si>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</si>
  <si>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</si>
  <si>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</si>
  <si>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</si>
  <si>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</si>
  <si>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</si>
  <si>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</si>
  <si>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</si>
  <si>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</si>
  <si>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</si>
  <si>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</si>
  <si>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</si>
  <si>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</si>
  <si>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</si>
  <si>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</si>
  <si>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</si>
  <si>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</si>
  <si>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</si>
  <si>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</si>
  <si>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</si>
  <si>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</si>
  <si>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</si>
  <si>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</si>
  <si>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</si>
  <si>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</si>
  <si>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</si>
  <si>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</si>
  <si>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</si>
  <si>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</si>
  <si>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</si>
  <si>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</si>
  <si>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</si>
  <si>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</si>
  <si>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</si>
  <si>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</si>
  <si>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</si>
  <si>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</si>
  <si>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</si>
  <si>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</si>
  <si>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</si>
  <si>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</si>
  <si>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</si>
  <si>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</si>
  <si>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</si>
  <si>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</si>
  <si>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</si>
  <si>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</si>
  <si>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</si>
  <si>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</si>
  <si>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</si>
  <si>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</si>
  <si>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</si>
  <si>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</si>
  <si>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</si>
  <si>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</si>
  <si>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</si>
  <si>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</si>
  <si>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</si>
  <si>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</si>
  <si>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</si>
  <si>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</si>
  <si>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</si>
  <si>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</si>
  <si>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</si>
  <si>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</si>
  <si>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</si>
  <si>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</si>
  <si>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</si>
  <si>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</si>
  <si>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</si>
  <si>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</si>
  <si>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</si>
  <si>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</si>
  <si>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</si>
  <si>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</si>
  <si>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</si>
  <si>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</si>
  <si>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</si>
  <si>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</si>
  <si>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</si>
  <si>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</si>
  <si>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</si>
  <si>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</si>
  <si>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</si>
  <si>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</si>
  <si>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</si>
  <si>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</si>
  <si>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</si>
  <si>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</si>
  <si>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</si>
  <si>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</si>
  <si>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</si>
  <si>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</si>
  <si>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</si>
  <si>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</si>
  <si>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</si>
  <si>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</si>
  <si>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</si>
  <si>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</si>
  <si>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</si>
  <si>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</si>
  <si>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</si>
  <si>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</si>
  <si>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</si>
  <si>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</si>
  <si>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</si>
  <si>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</si>
  <si>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</si>
  <si>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</si>
  <si>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</si>
  <si>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</si>
  <si>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</si>
  <si>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</si>
  <si>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</si>
  <si>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</si>
  <si>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</si>
  <si>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</si>
  <si>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</si>
  <si>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</si>
  <si>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</si>
  <si>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</si>
  <si>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</si>
  <si>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</si>
  <si>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</si>
  <si>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</si>
  <si>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</si>
  <si>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</si>
  <si>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</si>
  <si>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</si>
  <si>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</si>
  <si>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</si>
  <si>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</si>
  <si>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</si>
  <si>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</si>
  <si>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</si>
  <si>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</si>
  <si>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</si>
  <si>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</si>
  <si>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</si>
  <si>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</si>
  <si>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</si>
  <si>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</si>
  <si>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</si>
  <si>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</si>
  <si>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</si>
  <si>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</si>
  <si>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</si>
  <si>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</si>
  <si>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</si>
  <si>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</si>
  <si>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</si>
  <si>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</si>
  <si>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</si>
  <si>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</si>
  <si>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</si>
  <si>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</si>
  <si>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</si>
  <si>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</si>
  <si>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</si>
  <si>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</si>
  <si>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</si>
  <si>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</si>
  <si>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</si>
  <si>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</si>
  <si>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</si>
  <si>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</si>
  <si>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</si>
  <si>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</si>
  <si>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</si>
  <si>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</si>
  <si>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</si>
  <si>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</si>
  <si>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</si>
  <si>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</si>
  <si>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</si>
  <si>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</si>
  <si>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</si>
  <si>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</si>
  <si>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</si>
  <si>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</si>
  <si>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</si>
  <si>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</si>
  <si>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</si>
  <si>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</si>
  <si>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</si>
  <si>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</si>
  <si>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</si>
  <si>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</si>
  <si>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</si>
  <si>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</si>
  <si>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</si>
  <si>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</si>
  <si>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</si>
  <si>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</si>
  <si>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</si>
  <si>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</si>
  <si>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</si>
  <si>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</si>
  <si>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</si>
  <si>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</si>
  <si>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</si>
  <si>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</si>
  <si>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</si>
  <si>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</si>
  <si>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</si>
  <si>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</si>
  <si>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</si>
  <si>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</si>
  <si>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</si>
  <si>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</si>
  <si>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</si>
  <si>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</si>
  <si>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</si>
  <si>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</si>
  <si>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</si>
  <si>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</si>
  <si>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</si>
  <si>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</si>
  <si>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</si>
  <si>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</si>
  <si>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</si>
  <si>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</si>
  <si>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</si>
  <si>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</si>
  <si>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</si>
  <si>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</si>
  <si>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</si>
  <si>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</si>
  <si>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COLAGNE</t>
  </si>
  <si>
    <t xml:space="preserve">LA COLAGNE EN AMONT DE MARVEJOLS (PONT DU GRENIER)</t>
  </si>
  <si>
    <t xml:space="preserve">05101400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</si>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</sst>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13.3333333333333</v>
      </c>
      <c r="N5" s="324"/>
      <c r="O5" s="325" t="s">
        <v>899</v>
      </c>
      <c r="P5" s="326" t="n">
        <v>12.8888888888889</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79</v>
      </c>
      <c r="C7" s="342" t="n">
        <v>21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12.9090909090909</v>
      </c>
      <c r="P8" s="356" t="n">
        <f aca="false">IF(ISERROR(AVERAGE(K23:K82)),"  ",AVERAGE(K23:K82))</f>
        <v>1.81818181818182</v>
      </c>
      <c r="Q8" s="357"/>
      <c r="R8" s="281"/>
      <c r="S8" s="281"/>
      <c r="T8" s="281"/>
      <c r="U8" s="281"/>
      <c r="V8" s="281"/>
      <c r="W8" s="295"/>
      <c r="X8" s="0"/>
      <c r="Y8" s="0"/>
      <c r="Z8" s="0"/>
    </row>
    <row r="9" customFormat="false" ht="12.75" hidden="false" customHeight="false" outlineLevel="0" collapsed="false">
      <c r="A9" s="314" t="s">
        <v>3399</v>
      </c>
      <c r="B9" s="358" t="n">
        <v>0.4</v>
      </c>
      <c r="C9" s="359" t="n">
        <v>0.02</v>
      </c>
      <c r="D9" s="360"/>
      <c r="E9" s="360"/>
      <c r="F9" s="361" t="n">
        <f aca="false">($B9*$B$7+$C9*$C$7)/100</f>
        <v>0.3202</v>
      </c>
      <c r="G9" s="362"/>
      <c r="H9" s="317"/>
      <c r="I9" s="281"/>
      <c r="J9" s="363"/>
      <c r="K9" s="364"/>
      <c r="L9" s="347"/>
      <c r="M9" s="365"/>
      <c r="N9" s="355" t="s">
        <v>3400</v>
      </c>
      <c r="O9" s="356" t="n">
        <f aca="false">IF(ISERROR(STDEVP(J23:J82))," ",STDEVP(J23:J82))</f>
        <v>2.02055552462662</v>
      </c>
      <c r="P9" s="356" t="n">
        <f aca="false">IF(ISERROR(STDEVP(K23:K82)),"  ",STDEVP(K23:K82))</f>
        <v>0.574959574576069</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10</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12</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0.916666666666667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0.405</v>
      </c>
      <c r="C20" s="433" t="n">
        <f aca="false">SUM(C23:C82)</f>
        <v>0.015</v>
      </c>
      <c r="D20" s="434"/>
      <c r="E20" s="435" t="s">
        <v>3425</v>
      </c>
      <c r="F20" s="436" t="n">
        <f aca="false">($B20*$B$7+$C20*$C$7)/100</f>
        <v>0.3231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0.31995</v>
      </c>
      <c r="C21" s="444" t="n">
        <f aca="false">C20*C7/100</f>
        <v>0.00315</v>
      </c>
      <c r="D21" s="445" t="s">
        <v>3428</v>
      </c>
      <c r="E21" s="446"/>
      <c r="F21" s="447" t="n">
        <f aca="false">B21+C21</f>
        <v>0.3231</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0.00395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0.00395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195</v>
      </c>
      <c r="B24" s="490" t="n">
        <v>0.005</v>
      </c>
      <c r="C24" s="491" t="n">
        <v>0.005</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0.005</v>
      </c>
      <c r="S24" s="485" t="n">
        <f aca="false">IF(OR(ISTEXT(H24),R24=0),"",IF(R24&lt;0.1,1,IF(R24&lt;1,2,IF(R24&lt;10,3,IF(R24&lt;50,4,IF(R24&gt;=50,5,""))))))</f>
        <v>1</v>
      </c>
      <c r="T24" s="485" t="n">
        <f aca="false">IF(ISERROR(S24*J24),0,S24*J24)</f>
        <v>15</v>
      </c>
      <c r="U24" s="485" t="n">
        <f aca="false">IF(ISERROR(S24*J24*K24),0,S24*J24*K24)</f>
        <v>30</v>
      </c>
      <c r="V24" s="501" t="n">
        <f aca="false">IF(ISERROR(S24*K24),0,S24*K24)</f>
        <v>2</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217</v>
      </c>
      <c r="B25" s="490" t="n">
        <v>0.05</v>
      </c>
      <c r="C25" s="491"/>
      <c r="D25" s="492" t="str">
        <f aca="false">IF(ISERROR(VLOOKUP($A25,'liste reference'!$A$6:$B$1174,2,0)),IF(ISERROR(VLOOKUP($A25,'liste reference'!$B$6:$B$1174,1,0)),"",VLOOKUP($A25,'liste reference'!$B$6:$B$1174,1,0)),VLOOKUP($A25,'liste reference'!$A$6:$B$1174,2,0))</f>
        <v>Lemanea sp.</v>
      </c>
      <c r="E25" s="493" t="e">
        <f aca="false">IF(D25="",0,VLOOKUP(D25,D$22:D24,1,0))</f>
        <v>#N/A</v>
      </c>
      <c r="F25" s="494" t="n">
        <f aca="false">IF(AND(OR(A25="",A25="!!!!!!"),B25="",C25=""),"",IF(OR(AND(B25="",C25=""),ISERROR(C25+B25)),"!!!",($B25*$B$7+$C25*$C$7)/100))</f>
        <v>0.0395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Lemanea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1159</v>
      </c>
      <c r="R25" s="484" t="n">
        <f aca="false">IF(ISTEXT(H25),"",(B25*$B$7/100)+(C25*$C$7/100))</f>
        <v>0.0395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LEASPX</v>
      </c>
      <c r="Z25" s="470" t="n">
        <f aca="false">IF(ISERROR(MATCH(A25,'liste reference'!$A$6:$A$1174,0)),IF(ISERROR(MATCH(A25,'liste reference'!$B$6:$B$1174,0)),"",(MATCH(A25,'liste reference'!$B$6:$B$1174,0))),(MATCH(A25,'liste reference'!$A$6:$A$1174,0)))</f>
        <v>59</v>
      </c>
    </row>
    <row r="26" customFormat="false" ht="12.75" hidden="false" customHeight="false" outlineLevel="0" collapsed="false">
      <c r="A26" s="489" t="s">
        <v>309</v>
      </c>
      <c r="B26" s="490" t="n">
        <v>0.1</v>
      </c>
      <c r="C26" s="491" t="n">
        <v>0.01</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0.0811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0.0811</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448</v>
      </c>
      <c r="B27" s="490" t="n">
        <v>0.01</v>
      </c>
      <c r="C27" s="491"/>
      <c r="D27" s="492" t="str">
        <f aca="false">IF(ISERROR(VLOOKUP($A27,'liste reference'!$A$6:$B$1174,2,0)),IF(ISERROR(VLOOKUP($A27,'liste reference'!$B$6:$B$1174,1,0)),"",VLOOKUP($A27,'liste reference'!$B$6:$B$1174,1,0)),VLOOKUP($A27,'liste reference'!$A$6:$B$1174,2,0))</f>
        <v>Chiloscyphus polyanthos</v>
      </c>
      <c r="E27" s="493" t="e">
        <f aca="false">IF(D27="",0,VLOOKUP(D27,D$22:D26,1,0))</f>
        <v>#N/A</v>
      </c>
      <c r="F27" s="494" t="n">
        <f aca="false">IF(AND(OR(A27="",A27="!!!!!!"),B27="",C27=""),"",IF(OR(AND(B27="",C27=""),ISERROR(C27+B27)),"!!!",($B27*$B$7+$C27*$C$7)/100))</f>
        <v>0.0079</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n">
        <f aca="false">IF(ISNUMBER($H27),IF(ISERROR(VLOOKUP($A27,'liste reference'!$A$6:$Q$1174,6,0)),IF(ISERROR(VLOOKUP($A27,'liste reference'!$B$6:$Q$1174,5,0)),"nu",VLOOKUP($A27,'liste reference'!$B$6:$Q$1174,5,0)),VLOOKUP($A27,'liste reference'!$A$6:$Q$1174,6,0)),"nu")</f>
        <v>15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Chiloscyphus polyanthos</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1186</v>
      </c>
      <c r="R27" s="484" t="n">
        <f aca="false">IF(ISTEXT(H27),"",(B27*$B$7/100)+(C27*$C$7/100))</f>
        <v>0.0079</v>
      </c>
      <c r="S27" s="485" t="n">
        <f aca="false">IF(OR(ISTEXT(H27),R27=0),"",IF(R27&lt;0.1,1,IF(R27&lt;1,2,IF(R27&lt;10,3,IF(R27&lt;50,4,IF(R27&gt;=50,5,""))))))</f>
        <v>1</v>
      </c>
      <c r="T27" s="485" t="n">
        <f aca="false">IF(ISERROR(S27*J27),0,S27*J27)</f>
        <v>15</v>
      </c>
      <c r="U27" s="485" t="n">
        <f aca="false">IF(ISERROR(S27*J27*K27),0,S27*J27*K27)</f>
        <v>30</v>
      </c>
      <c r="V27" s="501" t="n">
        <f aca="false">IF(ISERROR(S27*K27),0,S27*K27)</f>
        <v>2</v>
      </c>
      <c r="W27" s="502"/>
      <c r="X27" s="503"/>
      <c r="Y27" s="488" t="str">
        <f aca="false">IF(AND(ISNUMBER(F27),OR(A27="",A27="!!!!!!")),"!!!!!!",IF(A27="new.cod","NEWCOD",IF(AND((Z27=""),ISTEXT(A27),A27&lt;&gt;"!!!!!!"),A27,IF(Z27="","",INDEX('liste reference'!$A$6:$A$1174,Z27)))))</f>
        <v>CHIPOL</v>
      </c>
      <c r="Z27" s="470" t="n">
        <f aca="false">IF(ISERROR(MATCH(A27,'liste reference'!$A$6:$A$1174,0)),IF(ISERROR(MATCH(A27,'liste reference'!$B$6:$B$1174,0)),"",(MATCH(A27,'liste reference'!$B$6:$B$1174,0))),(MATCH(A27,'liste reference'!$A$6:$A$1174,0)))</f>
        <v>137</v>
      </c>
    </row>
    <row r="28" customFormat="false" ht="12.75" hidden="false" customHeight="false" outlineLevel="0" collapsed="false">
      <c r="A28" s="489" t="s">
        <v>830</v>
      </c>
      <c r="B28" s="490" t="n">
        <v>0.005</v>
      </c>
      <c r="C28" s="491"/>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0.00395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0.00395</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889</v>
      </c>
      <c r="B29" s="490" t="n">
        <v>0.005</v>
      </c>
      <c r="C29" s="491"/>
      <c r="D29" s="492" t="str">
        <f aca="false">IF(ISERROR(VLOOKUP($A29,'liste reference'!$A$6:$B$1174,2,0)),IF(ISERROR(VLOOKUP($A29,'liste reference'!$B$6:$B$1174,1,0)),"",VLOOKUP($A29,'liste reference'!$B$6:$B$1174,1,0)),VLOOKUP($A29,'liste reference'!$A$6:$B$1174,2,0))</f>
        <v>Fontinalis antipyretica</v>
      </c>
      <c r="E29" s="493" t="e">
        <f aca="false">IF(D29="",0,VLOOKUP(D29,D$22:D28,1,0))</f>
        <v>#N/A</v>
      </c>
      <c r="F29" s="494" t="n">
        <f aca="false">IF(AND(OR(A29="",A29="!!!!!!"),B29="",C29=""),"",IF(OR(AND(B29="",C29=""),ISERROR(C29+B29)),"!!!",($B29*$B$7+$C29*$C$7)/100))</f>
        <v>0.00395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Fontinalis antipyretica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1310</v>
      </c>
      <c r="R29" s="484" t="n">
        <f aca="false">IF(ISTEXT(H29),"",(B29*$B$7/100)+(C29*$C$7/100))</f>
        <v>0.00395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FONANT</v>
      </c>
      <c r="Z29" s="470" t="n">
        <f aca="false">IF(ISERROR(MATCH(A29,'liste reference'!$A$6:$A$1174,0)),IF(ISERROR(MATCH(A29,'liste reference'!$B$6:$B$1174,0)),"",(MATCH(A29,'liste reference'!$B$6:$B$1174,0))),(MATCH(A29,'liste reference'!$A$6:$A$1174,0)))</f>
        <v>273</v>
      </c>
    </row>
    <row r="30" customFormat="false" ht="12.75" hidden="false" customHeight="false" outlineLevel="0" collapsed="false">
      <c r="A30" s="489" t="s">
        <v>899</v>
      </c>
      <c r="B30" s="490" t="n">
        <v>0.005</v>
      </c>
      <c r="C30" s="491"/>
      <c r="D30" s="492" t="str">
        <f aca="false">IF(ISERROR(VLOOKUP($A30,'liste reference'!$A$6:$B$1174,2,0)),IF(ISERROR(VLOOKUP($A30,'liste reference'!$B$6:$B$1174,1,0)),"",VLOOKUP($A30,'liste reference'!$B$6:$B$1174,1,0)),VLOOKUP($A30,'liste reference'!$A$6:$B$1174,2,0))</f>
        <v>Fontinalis squamosa</v>
      </c>
      <c r="E30" s="493" t="e">
        <f aca="false">IF(D30="",0,VLOOKUP(D30,D$22:D29,1,0))</f>
        <v>#N/A</v>
      </c>
      <c r="F30" s="494" t="n">
        <f aca="false">IF(AND(OR(A30="",A30="!!!!!!"),B30="",C30=""),"",IF(OR(AND(B30="",C30=""),ISERROR(C30+B30)),"!!!",($B30*$B$7+$C30*$C$7)/100))</f>
        <v>0.00395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16</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squamosa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1312</v>
      </c>
      <c r="R30" s="484" t="n">
        <f aca="false">IF(ISTEXT(H30),"",(B30*$B$7/100)+(C30*$C$7/100))</f>
        <v>0.00395</v>
      </c>
      <c r="S30" s="485" t="n">
        <f aca="false">IF(OR(ISTEXT(H30),R30=0),"",IF(R30&lt;0.1,1,IF(R30&lt;1,2,IF(R30&lt;10,3,IF(R30&lt;50,4,IF(R30&gt;=50,5,""))))))</f>
        <v>1</v>
      </c>
      <c r="T30" s="485" t="n">
        <f aca="false">IF(ISERROR(S30*J30),0,S30*J30)</f>
        <v>16</v>
      </c>
      <c r="U30" s="485" t="n">
        <f aca="false">IF(ISERROR(S30*J30*K30),0,S30*J30*K30)</f>
        <v>48</v>
      </c>
      <c r="V30" s="501" t="n">
        <f aca="false">IF(ISERROR(S30*K30),0,S30*K30)</f>
        <v>3</v>
      </c>
      <c r="W30" s="502"/>
      <c r="X30" s="503"/>
      <c r="Y30" s="488" t="str">
        <f aca="false">IF(AND(ISNUMBER(F30),OR(A30="",A30="!!!!!!")),"!!!!!!",IF(A30="new.cod","NEWCOD",IF(AND((Z30=""),ISTEXT(A30),A30&lt;&gt;"!!!!!!"),A30,IF(Z30="","",INDEX('liste reference'!$A$6:$A$1174,Z30)))))</f>
        <v>FONSQU</v>
      </c>
      <c r="Z30" s="470" t="n">
        <f aca="false">IF(ISERROR(MATCH(A30,'liste reference'!$A$6:$A$1174,0)),IF(ISERROR(MATCH(A30,'liste reference'!$B$6:$B$1174,0)),"",(MATCH(A30,'liste reference'!$B$6:$B$1174,0))),(MATCH(A30,'liste reference'!$A$6:$A$1174,0)))</f>
        <v>277</v>
      </c>
    </row>
    <row r="31" customFormat="false" ht="12.75" hidden="false" customHeight="false" outlineLevel="0" collapsed="false">
      <c r="A31" s="489" t="s">
        <v>909</v>
      </c>
      <c r="B31" s="490" t="n">
        <v>0.01</v>
      </c>
      <c r="C31" s="491"/>
      <c r="D31" s="492" t="str">
        <f aca="false">IF(ISERROR(VLOOKUP($A31,'liste reference'!$A$6:$B$1174,2,0)),IF(ISERROR(VLOOKUP($A31,'liste reference'!$B$6:$B$1174,1,0)),"",VLOOKUP($A31,'liste reference'!$B$6:$B$1174,1,0)),VLOOKUP($A31,'liste reference'!$A$6:$B$1174,2,0))</f>
        <v>Hygroamblystegium fluviatile </v>
      </c>
      <c r="E31" s="493" t="e">
        <f aca="false">IF(D31="",0,VLOOKUP(D31,D$22:D30,1,0))</f>
        <v>#N/A</v>
      </c>
      <c r="F31" s="494" t="n">
        <f aca="false">IF(AND(OR(A31="",A31="!!!!!!"),B31="",C31=""),"",IF(OR(AND(B31="",C31=""),ISERROR(C31+B31)),"!!!",($B31*$B$7+$C31*$C$7)/100))</f>
        <v>0.0079</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11</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Hygroamblystegium fluviatile </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1237</v>
      </c>
      <c r="R31" s="484" t="n">
        <f aca="false">IF(ISTEXT(H31),"",(B31*$B$7/100)+(C31*$C$7/100))</f>
        <v>0.0079</v>
      </c>
      <c r="S31" s="485" t="n">
        <f aca="false">IF(OR(ISTEXT(H31),R31=0),"",IF(R31&lt;0.1,1,IF(R31&lt;1,2,IF(R31&lt;10,3,IF(R31&lt;50,4,IF(R31&gt;=50,5,""))))))</f>
        <v>1</v>
      </c>
      <c r="T31" s="485" t="n">
        <f aca="false">IF(ISERROR(S31*J31),0,S31*J31)</f>
        <v>11</v>
      </c>
      <c r="U31" s="485" t="n">
        <f aca="false">IF(ISERROR(S31*J31*K31),0,S31*J31*K31)</f>
        <v>22</v>
      </c>
      <c r="V31" s="501" t="n">
        <f aca="false">IF(ISERROR(S31*K31),0,S31*K31)</f>
        <v>2</v>
      </c>
      <c r="W31" s="502"/>
      <c r="X31" s="503"/>
      <c r="Y31" s="488" t="str">
        <f aca="false">IF(AND(ISNUMBER(F31),OR(A31="",A31="!!!!!!")),"!!!!!!",IF(A31="new.cod","NEWCOD",IF(AND((Z31=""),ISTEXT(A31),A31&lt;&gt;"!!!!!!"),A31,IF(Z31="","",INDEX('liste reference'!$A$6:$A$1174,Z31)))))</f>
        <v>HYAFLU</v>
      </c>
      <c r="Z31" s="470" t="n">
        <f aca="false">IF(ISERROR(MATCH(A31,'liste reference'!$A$6:$A$1174,0)),IF(ISERROR(MATCH(A31,'liste reference'!$B$6:$B$1174,0)),"",(MATCH(A31,'liste reference'!$B$6:$B$1174,0))),(MATCH(A31,'liste reference'!$A$6:$A$1174,0)))</f>
        <v>281</v>
      </c>
    </row>
    <row r="32" customFormat="false" ht="12.75" hidden="false" customHeight="false" outlineLevel="0" collapsed="false">
      <c r="A32" s="489" t="s">
        <v>1122</v>
      </c>
      <c r="B32" s="490" t="n">
        <v>0.2</v>
      </c>
      <c r="C32" s="491"/>
      <c r="D32" s="492" t="str">
        <f aca="false">IF(ISERROR(VLOOKUP($A32,'liste reference'!$A$6:$B$1174,2,0)),IF(ISERROR(VLOOKUP($A32,'liste reference'!$B$6:$B$1174,1,0)),"",VLOOKUP($A32,'liste reference'!$B$6:$B$1174,1,0)),VLOOKUP($A32,'liste reference'!$A$6:$B$1174,2,0))</f>
        <v>Rhynchostegium riparioides</v>
      </c>
      <c r="E32" s="493" t="e">
        <f aca="false">IF(D32="",0,VLOOKUP(D32,D$22:D31,1,0))</f>
        <v>#N/A</v>
      </c>
      <c r="F32" s="494" t="n">
        <f aca="false">IF(AND(OR(A32="",A32="!!!!!!"),B32="",C32=""),"",IF(OR(AND(B32="",C32=""),ISERROR(C32+B32)),"!!!",($B32*$B$7+$C32*$C$7)/100))</f>
        <v>0.158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Rhynchostegium riparioides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31691</v>
      </c>
      <c r="R32" s="484" t="n">
        <f aca="false">IF(ISTEXT(H32),"",(B32*$B$7/100)+(C32*$C$7/100))</f>
        <v>0.158</v>
      </c>
      <c r="S32" s="485" t="n">
        <f aca="false">IF(OR(ISTEXT(H32),R32=0),"",IF(R32&lt;0.1,1,IF(R32&lt;1,2,IF(R32&lt;10,3,IF(R32&lt;50,4,IF(R32&gt;=50,5,""))))))</f>
        <v>2</v>
      </c>
      <c r="T32" s="485" t="n">
        <f aca="false">IF(ISERROR(S32*J32),0,S32*J32)</f>
        <v>24</v>
      </c>
      <c r="U32" s="485" t="n">
        <f aca="false">IF(ISERROR(S32*J32*K32),0,S32*J32*K32)</f>
        <v>24</v>
      </c>
      <c r="V32" s="501" t="n">
        <f aca="false">IF(ISERROR(S32*K32),0,S32*K32)</f>
        <v>2</v>
      </c>
      <c r="W32" s="502"/>
      <c r="X32" s="503"/>
      <c r="Y32" s="488" t="str">
        <f aca="false">IF(AND(ISNUMBER(F32),OR(A32="",A32="!!!!!!")),"!!!!!!",IF(A32="new.cod","NEWCOD",IF(AND((Z32=""),ISTEXT(A32),A32&lt;&gt;"!!!!!!"),A32,IF(Z32="","",INDEX('liste reference'!$A$6:$A$1174,Z32)))))</f>
        <v>RHYRIP</v>
      </c>
      <c r="Z32" s="470" t="n">
        <f aca="false">IF(ISERROR(MATCH(A32,'liste reference'!$A$6:$A$1174,0)),IF(ISERROR(MATCH(A32,'liste reference'!$B$6:$B$1174,0)),"",(MATCH(A32,'liste reference'!$B$6:$B$1174,0))),(MATCH(A32,'liste reference'!$A$6:$A$1174,0)))</f>
        <v>345</v>
      </c>
    </row>
    <row r="33" customFormat="false" ht="12.75" hidden="false" customHeight="false" outlineLevel="0" collapsed="false">
      <c r="A33" s="489" t="s">
        <v>1255</v>
      </c>
      <c r="B33" s="490" t="n">
        <v>0.005</v>
      </c>
      <c r="C33" s="491"/>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0.00395</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0.00395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2170</v>
      </c>
      <c r="B34" s="490" t="n">
        <v>0.005</v>
      </c>
      <c r="C34" s="491"/>
      <c r="D34" s="492" t="str">
        <f aca="false">IF(ISERROR(VLOOKUP($A34,'liste reference'!$A$6:$B$1174,2,0)),IF(ISERROR(VLOOKUP($A34,'liste reference'!$B$6:$B$1174,1,0)),"",VLOOKUP($A34,'liste reference'!$B$6:$B$1174,1,0)),VLOOKUP($A34,'liste reference'!$A$6:$B$1174,2,0))</f>
        <v>Phalaris arundinacea</v>
      </c>
      <c r="E34" s="493" t="e">
        <f aca="false">IF(D34="",0,VLOOKUP(D34,D$22:D33,1,0))</f>
        <v>#N/A</v>
      </c>
      <c r="F34" s="494" t="n">
        <f aca="false">IF(AND(OR(A34="",A34="!!!!!!"),B34="",C34=""),"",IF(OR(AND(B34="",C34=""),ISERROR(C34+B34)),"!!!",($B34*$B$7+$C34*$C$7)/100))</f>
        <v>0.00395</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Phalaris arundinacea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1577</v>
      </c>
      <c r="R34" s="484" t="n">
        <f aca="false">IF(ISTEXT(H34),"",(B34*$B$7/100)+(C34*$C$7/100))</f>
        <v>0.00395</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PHAARU</v>
      </c>
      <c r="Z34" s="470" t="n">
        <f aca="false">IF(ISERROR(MATCH(A34,'liste reference'!$A$6:$A$1174,0)),IF(ISERROR(MATCH(A34,'liste reference'!$B$6:$B$1174,0)),"",(MATCH(A34,'liste reference'!$B$6:$B$1174,0))),(MATCH(A34,'liste reference'!$A$6:$A$1174,0)))</f>
        <v>707</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0.3231</v>
      </c>
      <c r="G83" s="424"/>
      <c r="H83" s="424"/>
      <c r="I83" s="424"/>
      <c r="J83" s="424"/>
      <c r="K83" s="424"/>
      <c r="L83" s="424"/>
      <c r="M83" s="485"/>
      <c r="N83" s="485"/>
      <c r="O83" s="485"/>
      <c r="P83" s="485"/>
      <c r="Q83" s="485"/>
      <c r="R83" s="485"/>
      <c r="S83" s="485"/>
      <c r="T83" s="485"/>
      <c r="U83" s="485"/>
      <c r="V83" s="485" t="n">
        <f aca="false">SUM(V23:V82)</f>
        <v>21</v>
      </c>
      <c r="W83" s="485"/>
      <c r="X83" s="523"/>
      <c r="Y83" s="523"/>
      <c r="Z83" s="524"/>
    </row>
    <row r="84" customFormat="false" ht="12.75" hidden="true" customHeight="false" outlineLevel="0" collapsed="false">
      <c r="A84" s="518" t="str">
        <f aca="false">A3</f>
        <v>LA COLAGNE</v>
      </c>
      <c r="B84" s="453" t="str">
        <f aca="false">C3</f>
        <v>LA COLAGNE EN AMONT DE MARVEJOLS (PONT DU GRENIER)</v>
      </c>
      <c r="C84" s="525" t="str">
        <f aca="false">A4</f>
        <v>(Date)</v>
      </c>
      <c r="D84" s="526" t="n">
        <f aca="false">IF(OR(ISERROR(SUM($U$23:$U$82)/SUM($V$23:$V$82)),F7&lt;&gt;100),-1,SUM($U$23:$U$82)/SUM($V$23:$V$82))</f>
        <v>13.3333333333333</v>
      </c>
      <c r="E84" s="527" t="n">
        <f aca="false">O13</f>
        <v>12</v>
      </c>
      <c r="F84" s="453" t="n">
        <f aca="false">O14</f>
        <v>11</v>
      </c>
      <c r="G84" s="453" t="n">
        <f aca="false">O15</f>
        <v>3</v>
      </c>
      <c r="H84" s="453" t="n">
        <f aca="false">O16</f>
        <v>7</v>
      </c>
      <c r="I84" s="453" t="n">
        <f aca="false">O17</f>
        <v>1</v>
      </c>
      <c r="J84" s="528" t="n">
        <f aca="false">O8</f>
        <v>12.9090909090909</v>
      </c>
      <c r="K84" s="529" t="n">
        <f aca="false">O9</f>
        <v>2.02055552462662</v>
      </c>
      <c r="L84" s="530" t="n">
        <f aca="false">O10</f>
        <v>10</v>
      </c>
      <c r="M84" s="530" t="n">
        <f aca="false">O11</f>
        <v>16</v>
      </c>
      <c r="N84" s="529" t="n">
        <f aca="false">P8</f>
        <v>1.81818181818182</v>
      </c>
      <c r="O84" s="529" t="n">
        <f aca="false">P9</f>
        <v>0.574959574576069</v>
      </c>
      <c r="P84" s="530" t="n">
        <f aca="false">P10</f>
        <v>1</v>
      </c>
      <c r="Q84" s="530" t="n">
        <f aca="false">P11</f>
        <v>3</v>
      </c>
      <c r="R84" s="530" t="n">
        <f aca="false">F21</f>
        <v>0.3231</v>
      </c>
      <c r="S84" s="530" t="n">
        <f aca="false">L11</f>
        <v>0</v>
      </c>
      <c r="T84" s="530" t="n">
        <f aca="false">L12</f>
        <v>4</v>
      </c>
      <c r="U84" s="530" t="n">
        <f aca="false">L13</f>
        <v>6</v>
      </c>
      <c r="V84" s="531" t="n">
        <f aca="false">L15</f>
        <v>1</v>
      </c>
      <c r="W84" s="532" t="n">
        <f aca="false">L15</f>
        <v>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16</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3452</v>
      </c>
      <c r="S89" s="281"/>
      <c r="T89" s="536" t="n">
        <f aca="false">MAX($V$23:$V$82)</f>
        <v>3</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12.8888888888889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FONSQU</v>
      </c>
      <c r="U91" s="281" t="n">
        <f aca="false">IF(ISERROR(MATCH($T$93,'liste reference'!$A$6:$A$1174,0)),MATCH($T$93,'liste reference'!$B$6:$B$1174,0),(MATCH($T$93,'liste reference'!$A$6:$A$1174,0)))</f>
        <v>277</v>
      </c>
      <c r="V91" s="538"/>
    </row>
    <row r="92" customFormat="false" ht="12.75" hidden="true" customHeight="false" outlineLevel="0" collapsed="false">
      <c r="C92" s="534"/>
      <c r="D92" s="534"/>
      <c r="E92" s="534"/>
      <c r="R92" s="281" t="s">
        <v>3455</v>
      </c>
      <c r="S92" s="281"/>
      <c r="T92" s="281" t="n">
        <f aca="false">MATCH(T89,$V$23:$V$82,0)</f>
        <v>8</v>
      </c>
      <c r="U92" s="281"/>
    </row>
    <row r="93" customFormat="false" ht="12.75" hidden="true" customHeight="false" outlineLevel="0" collapsed="false">
      <c r="C93" s="534"/>
      <c r="D93" s="534"/>
      <c r="E93" s="534"/>
      <c r="R93" s="485" t="s">
        <v>3456</v>
      </c>
      <c r="S93" s="281"/>
      <c r="T93" s="485" t="str">
        <f aca="false">INDEX($A$23:$A$82,$T$92)</f>
        <v>FONSQU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2017-02-17T15:38:55Z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