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01420" sheetId="6" state="visible" r:id="rId8"/>
    <sheet name="jgjg" sheetId="7" state="hidden" r:id="rId9"/>
    <sheet name="liste codes réf" sheetId="8" state="hidden" r:id="rId10"/>
  </sheets>
  <definedNames>
    <definedName function="false" hidden="false" localSheetId="5" name="_xlnm.Print_Area" vbProcedure="false">'05101420'!$A$1:$Q$82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'05101420'!$A$1:$Q$82</definedName>
    <definedName function="false" hidden="false" localSheetId="5" name="_xlnm__FilterDatabase" vbProcedure="false">'05101420'!$A$1:$C$1415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<sst xmlns="http://schemas.openxmlformats.org/spreadsheetml/2006/main" count="8854" uniqueCount="3498">
  <si>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</si>
  <si>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</si>
  <si>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</si>
  <si>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</si>
  <si>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</si>
  <si>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</si>
  <si>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</si>
  <si>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</si>
  <si>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</si>
  <si>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</si>
  <si>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</si>
  <si>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</si>
  <si>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</si>
  <si>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</si>
  <si>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</si>
  <si>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</si>
  <si>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</si>
  <si>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</si>
  <si>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</si>
  <si>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</si>
  <si>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</si>
  <si>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</si>
  <si>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</si>
  <si>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</si>
  <si>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</si>
  <si>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</si>
  <si>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</si>
  <si>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</si>
  <si>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</si>
  <si>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</si>
  <si>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</si>
  <si>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</si>
  <si>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</si>
  <si>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</si>
  <si>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</si>
  <si>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</si>
  <si>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</si>
  <si>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</si>
  <si>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</si>
  <si>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</si>
  <si>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</si>
  <si>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</si>
  <si>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</si>
  <si>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</si>
  <si>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</si>
  <si>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</si>
  <si>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</si>
  <si>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</si>
  <si>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</si>
  <si>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</si>
  <si>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</si>
  <si>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</si>
  <si>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</si>
  <si>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</si>
  <si>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</si>
  <si>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</si>
  <si>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</si>
  <si>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</si>
  <si>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</si>
  <si>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</si>
  <si>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</si>
  <si>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</si>
  <si>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</si>
  <si>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</si>
  <si>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</si>
  <si>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</si>
  <si>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</si>
  <si>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</si>
  <si>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</si>
  <si>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</si>
  <si>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</si>
  <si>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</si>
  <si>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</si>
  <si>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</si>
  <si>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</si>
  <si>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</si>
  <si>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</si>
  <si>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</si>
  <si>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</si>
  <si>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</si>
  <si>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</si>
  <si>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</si>
  <si>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</si>
  <si>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</si>
  <si>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</si>
  <si>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</si>
  <si>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</si>
  <si>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</si>
  <si>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</si>
  <si>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</si>
  <si>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</si>
  <si>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</si>
  <si>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</si>
  <si>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</si>
  <si>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</si>
  <si>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</si>
  <si>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</si>
  <si>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</si>
  <si>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</si>
  <si>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</si>
  <si>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</si>
  <si>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</si>
  <si>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</si>
  <si>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</si>
  <si>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</si>
  <si>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</si>
  <si>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</si>
  <si>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</si>
  <si>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</si>
  <si>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</si>
  <si>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</si>
  <si>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</si>
  <si>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</si>
  <si>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</si>
  <si>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</si>
  <si>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</si>
  <si>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</si>
  <si>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</si>
  <si>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</si>
  <si>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</si>
  <si>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</si>
  <si>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</si>
  <si>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</si>
  <si>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</si>
  <si>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</si>
  <si>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</si>
  <si>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</si>
  <si>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</si>
  <si>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</si>
  <si>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</si>
  <si>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</si>
  <si>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</si>
  <si>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</si>
  <si>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</si>
  <si>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</si>
  <si>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</si>
  <si>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</si>
  <si>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</si>
  <si>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</si>
  <si>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</si>
  <si>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</si>
  <si>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</si>
  <si>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</si>
  <si>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</si>
  <si>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</si>
  <si>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</si>
  <si>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</si>
  <si>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</si>
  <si>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</si>
  <si>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</si>
  <si>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</si>
  <si>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</si>
  <si>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</si>
  <si>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</si>
  <si>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</si>
  <si>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</si>
  <si>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</si>
  <si>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</si>
  <si>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</si>
  <si>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</si>
  <si>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</si>
  <si>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</si>
  <si>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</si>
  <si>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</si>
  <si>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</si>
  <si>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</si>
  <si>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</si>
  <si>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</si>
  <si>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</si>
  <si>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</si>
  <si>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</si>
  <si>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</si>
  <si>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</si>
  <si>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</si>
  <si>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</si>
  <si>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</si>
  <si>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</si>
  <si>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</si>
  <si>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</si>
  <si>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</si>
  <si>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</si>
  <si>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</si>
  <si>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</si>
  <si>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</si>
  <si>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</si>
  <si>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</si>
  <si>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</si>
  <si>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</si>
  <si>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</si>
  <si>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</si>
  <si>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</si>
  <si>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</si>
  <si>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</si>
  <si>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</si>
  <si>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</si>
  <si>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</si>
  <si>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</si>
  <si>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</si>
  <si>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</si>
  <si>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</si>
  <si>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</si>
  <si>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</si>
  <si>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</si>
  <si>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</si>
  <si>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</si>
  <si>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</si>
  <si>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</si>
  <si>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</si>
  <si>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</si>
  <si>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</si>
  <si>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</si>
  <si>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</si>
  <si>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</si>
  <si>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</si>
  <si>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</si>
  <si>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</si>
  <si>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</si>
  <si>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</si>
  <si>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</si>
  <si>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</si>
  <si>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</si>
  <si>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</si>
  <si>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</si>
  <si>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</si>
  <si>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</si>
  <si>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</si>
  <si>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</si>
  <si>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</si>
  <si>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</si>
  <si>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</si>
  <si>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</si>
  <si>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</si>
  <si>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</si>
  <si>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</si>
  <si>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</si>
  <si>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</si>
  <si>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</si>
  <si>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</si>
  <si>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</si>
  <si>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</si>
  <si>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</si>
  <si>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</si>
  <si>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</si>
  <si>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</si>
  <si>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</si>
  <si>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</si>
  <si>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</si>
  <si>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</si>
  <si>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</si>
  <si>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</si>
  <si>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</si>
  <si>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</si>
  <si>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</si>
  <si>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</si>
  <si>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</si>
  <si>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</si>
  <si>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</si>
  <si>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</si>
  <si>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</si>
  <si>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</si>
  <si>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</si>
  <si>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</si>
  <si>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</si>
  <si>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</si>
  <si>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</si>
  <si>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</si>
  <si>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</si>
  <si>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</si>
  <si>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</si>
  <si>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</si>
  <si>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</si>
  <si>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</si>
  <si>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</si>
  <si>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</si>
  <si>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</si>
  <si>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</si>
  <si>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</si>
  <si>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</si>
  <si>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</si>
  <si>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</si>
  <si>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</si>
  <si>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</si>
  <si>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</si>
  <si>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</si>
  <si>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</si>
  <si>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</si>
  <si>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</si>
  <si>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</si>
  <si>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</si>
  <si>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</si>
  <si>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</si>
  <si>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</si>
  <si>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</si>
  <si>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</si>
  <si>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</si>
  <si>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</si>
  <si>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</si>
  <si>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</si>
  <si>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</si>
  <si>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</si>
  <si>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</si>
  <si>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</si>
  <si>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</si>
  <si>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</si>
  <si>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</si>
  <si>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</si>
  <si>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</si>
  <si>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</si>
  <si>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</si>
  <si>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</si>
  <si>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</si>
  <si>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</si>
  <si>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</si>
  <si>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</si>
  <si>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</si>
  <si>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</si>
  <si>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</si>
  <si>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</si>
  <si>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</si>
  <si>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</si>
  <si>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</si>
  <si>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</si>
  <si>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</si>
  <si>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</si>
  <si>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</si>
  <si>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</si>
  <si>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</si>
  <si>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</si>
  <si>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</si>
  <si>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</si>
  <si>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</si>
  <si>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</si>
  <si>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</si>
  <si>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</si>
  <si>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</si>
  <si>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</si>
  <si>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</si>
  <si>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</si>
  <si>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</si>
  <si>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</si>
  <si>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</si>
  <si>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</si>
  <si>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</si>
  <si>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</si>
  <si>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</si>
  <si>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</si>
  <si>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</si>
  <si>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</si>
  <si>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</si>
  <si>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</si>
  <si>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</si>
  <si>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</si>
  <si>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</si>
  <si>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</si>
  <si>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</si>
  <si>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</si>
  <si>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</si>
  <si>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</si>
  <si>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</si>
  <si>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</si>
  <si>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</si>
  <si>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</si>
  <si>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</si>
  <si>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</si>
  <si>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</si>
  <si>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</si>
  <si>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</si>
  <si>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</si>
  <si>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</si>
  <si>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</si>
  <si>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</si>
  <si>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</si>
  <si>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</si>
  <si>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</si>
  <si>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</si>
  <si>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</si>
  <si>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</si>
  <si>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</si>
  <si>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</si>
  <si>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</si>
  <si>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</si>
  <si>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</si>
  <si>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</si>
  <si>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</si>
  <si>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</si>
  <si>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</si>
  <si>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</si>
  <si>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</si>
  <si>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</si>
  <si>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</si>
  <si>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</si>
  <si>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</si>
  <si>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</si>
  <si>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</si>
  <si>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</si>
  <si>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</si>
  <si>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</si>
  <si>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</si>
  <si>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</si>
  <si>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</si>
  <si>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</si>
  <si>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</si>
  <si>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</si>
  <si>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</si>
  <si>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</si>
  <si>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</si>
  <si>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</si>
  <si>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</si>
  <si>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</si>
  <si>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</si>
  <si>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</si>
  <si>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</si>
  <si>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</si>
  <si>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</si>
  <si>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</si>
  <si>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</si>
  <si>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</si>
  <si>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</si>
  <si>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</si>
  <si>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</si>
  <si>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</si>
  <si>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</si>
  <si>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</si>
  <si>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</si>
  <si>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</si>
  <si>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</si>
  <si>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</si>
  <si>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</si>
  <si>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</si>
  <si>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</si>
  <si>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</si>
  <si>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</si>
  <si>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</si>
  <si>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</si>
  <si>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</si>
  <si>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</si>
  <si>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</si>
  <si>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</si>
  <si>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</si>
  <si>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</si>
  <si>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</si>
  <si>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</si>
  <si>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</si>
  <si>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</si>
  <si>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</si>
  <si>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</si>
  <si>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</si>
  <si>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</si>
  <si>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</si>
  <si>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</si>
  <si>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</si>
  <si>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</si>
  <si>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</si>
  <si>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</si>
  <si>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</si>
  <si>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</si>
  <si>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</si>
  <si>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</si>
  <si>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</si>
  <si>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</si>
  <si>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</si>
  <si>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</si>
  <si>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</si>
  <si>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</si>
  <si>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</si>
  <si>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</si>
  <si>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</si>
  <si>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</si>
  <si>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</si>
  <si>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</si>
  <si>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</si>
  <si>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</si>
  <si>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</si>
  <si>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</si>
  <si>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</si>
  <si>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</si>
  <si>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</si>
  <si>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</si>
  <si>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</si>
  <si>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</si>
  <si>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</si>
  <si>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</si>
  <si>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</si>
  <si>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</si>
  <si>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</si>
  <si>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</si>
  <si>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</si>
  <si>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</si>
  <si>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</si>
  <si>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</si>
  <si>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</si>
  <si>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</si>
  <si>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</si>
  <si>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</si>
  <si>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</si>
  <si>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</si>
  <si>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</si>
  <si>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</si>
  <si>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</si>
  <si>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</si>
  <si>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</si>
  <si>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</si>
  <si>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</si>
  <si>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</si>
  <si>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</si>
  <si>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</si>
  <si>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</si>
  <si>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</si>
  <si>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</si>
  <si>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</si>
  <si>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</si>
  <si>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</si>
  <si>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</si>
  <si>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</si>
  <si>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</si>
  <si>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</si>
  <si>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</si>
  <si>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</si>
  <si>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</si>
  <si>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</si>
  <si>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</si>
  <si>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</si>
  <si>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</si>
  <si>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</si>
  <si>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</si>
  <si>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</si>
  <si>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</si>
  <si>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</si>
  <si>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</si>
  <si>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</si>
  <si>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</si>
  <si>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</si>
  <si>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</si>
  <si>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</si>
  <si>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</si>
  <si>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</si>
  <si>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</si>
  <si>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</si>
  <si>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</si>
  <si>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</si>
  <si>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</si>
  <si>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</si>
  <si>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</si>
  <si>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</si>
  <si>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</si>
  <si>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</si>
  <si>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</si>
  <si>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</si>
  <si>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</si>
  <si>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</si>
  <si>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</si>
  <si>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</si>
  <si>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</si>
  <si>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</si>
  <si>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</si>
  <si>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</si>
  <si>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</si>
  <si>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</si>
  <si>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</si>
  <si>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</si>
  <si>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</si>
  <si>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</si>
  <si>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</si>
  <si>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</si>
  <si>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</si>
  <si>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</si>
  <si>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</si>
  <si>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</si>
  <si>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</si>
  <si>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</si>
  <si>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</si>
  <si>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</si>
  <si>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</si>
  <si>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</si>
  <si>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</si>
  <si>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</si>
  <si>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</si>
  <si>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</si>
  <si>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</si>
  <si>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</si>
  <si>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</si>
  <si>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</si>
  <si>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</si>
  <si>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</si>
  <si>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</si>
  <si>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</si>
  <si>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</si>
  <si>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</si>
  <si>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</si>
  <si>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</si>
  <si>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</si>
  <si>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</si>
  <si>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</si>
  <si>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</si>
  <si>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</si>
  <si>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</si>
  <si>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</si>
  <si>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</si>
  <si>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</si>
  <si>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</si>
  <si>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</si>
  <si>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</si>
  <si>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</si>
  <si>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</si>
  <si>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</si>
  <si>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</si>
  <si>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</si>
  <si>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</si>
  <si>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</si>
  <si>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</si>
  <si>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</si>
  <si>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</si>
  <si>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</si>
  <si>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</si>
  <si>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</si>
  <si>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</si>
  <si>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</si>
  <si>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</si>
  <si>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</si>
  <si>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</si>
  <si>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</si>
  <si>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</si>
  <si>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</si>
  <si>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</si>
  <si>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</si>
  <si>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</si>
  <si>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</si>
  <si>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</si>
  <si>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</si>
  <si>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</si>
  <si>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</si>
  <si>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</si>
  <si>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</si>
  <si>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</si>
  <si>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</si>
  <si>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</si>
  <si>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</si>
  <si>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</si>
  <si>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</si>
  <si>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</si>
  <si>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</si>
  <si>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</si>
  <si>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</si>
  <si>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</si>
  <si>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</si>
  <si>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</si>
  <si>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</si>
  <si>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</si>
  <si>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</si>
  <si>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</si>
  <si>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</si>
  <si>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</si>
  <si>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</si>
  <si>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</si>
  <si>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</si>
  <si>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</si>
  <si>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</si>
  <si>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</si>
  <si>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</si>
  <si>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</si>
  <si>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</si>
  <si>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</si>
  <si>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</si>
  <si>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</si>
  <si>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</si>
  <si>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</si>
  <si>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</si>
  <si>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</si>
  <si>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</si>
  <si>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</si>
  <si>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</si>
  <si>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</si>
  <si>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</si>
  <si>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</si>
  <si>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</si>
  <si>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</si>
  <si>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</si>
  <si>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</si>
  <si>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</si>
  <si>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</si>
  <si>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</si>
  <si>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</si>
  <si>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</si>
  <si>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</si>
  <si>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</si>
  <si>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</si>
  <si>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</si>
  <si>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</si>
  <si>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</si>
  <si>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</si>
  <si>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</si>
  <si>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</si>
  <si>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</si>
  <si>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</si>
  <si>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</si>
  <si>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</si>
  <si>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</si>
  <si>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</si>
  <si>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</si>
  <si>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</si>
  <si>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</si>
  <si>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</si>
  <si>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</si>
  <si>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</si>
  <si>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</si>
  <si>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</si>
  <si>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</si>
  <si>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</si>
  <si>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</si>
  <si>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</si>
  <si>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</si>
  <si>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</si>
  <si>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</si>
  <si>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</si>
  <si>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</si>
  <si>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</si>
  <si>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</si>
  <si>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</si>
  <si>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</si>
  <si>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</si>
  <si>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</si>
  <si>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</si>
  <si>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</si>
  <si>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</si>
  <si>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</si>
  <si>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</si>
  <si>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</si>
  <si>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</si>
  <si>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</si>
  <si>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</si>
  <si>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</si>
  <si>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</si>
  <si>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</si>
  <si>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</si>
  <si>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</si>
  <si>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</si>
  <si>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</si>
  <si>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</si>
  <si>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</si>
  <si>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</si>
  <si>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</si>
  <si>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</si>
  <si>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</si>
  <si>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</si>
  <si>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</si>
  <si>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</si>
  <si>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</si>
  <si>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</si>
  <si>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</si>
  <si>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</si>
  <si>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</si>
  <si>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</si>
  <si>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</si>
  <si>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</si>
  <si>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</si>
  <si>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</si>
  <si>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</si>
  <si>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</si>
  <si>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</si>
  <si>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</si>
  <si>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</si>
  <si>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</si>
  <si>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</si>
  <si>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</si>
  <si>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</si>
  <si>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</si>
  <si>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</si>
  <si>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</si>
  <si>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</si>
  <si>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</si>
  <si>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</si>
  <si>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</si>
  <si>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</si>
  <si>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</si>
  <si>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</si>
  <si>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</si>
  <si>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</si>
  <si>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</si>
  <si>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</si>
  <si>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</si>
  <si>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</si>
  <si>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</si>
  <si>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</si>
  <si>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</si>
  <si>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</si>
  <si>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</si>
  <si>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</si>
  <si>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</si>
  <si>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</si>
  <si>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</si>
  <si>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</si>
  <si>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</si>
  <si>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</si>
  <si>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</si>
  <si>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</si>
  <si>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</si>
  <si>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</si>
  <si>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</si>
  <si>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</si>
  <si>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</si>
  <si>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</si>
  <si>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</si>
  <si>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</si>
  <si>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</si>
  <si>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</si>
  <si>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</si>
  <si>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</si>
  <si>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</si>
  <si>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</si>
  <si>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</si>
  <si>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</si>
  <si>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</si>
  <si>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</si>
  <si>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</si>
  <si>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</si>
  <si>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</si>
  <si>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</si>
  <si>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</si>
  <si>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</si>
  <si>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</si>
  <si>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</si>
  <si>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</si>
  <si>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</si>
  <si>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</si>
  <si>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</si>
  <si>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</si>
  <si>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</si>
  <si>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</si>
  <si>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</si>
  <si>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</si>
  <si>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</si>
  <si>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</si>
  <si>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</si>
  <si>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</si>
  <si>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</si>
  <si>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</si>
  <si>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</si>
  <si>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</si>
  <si>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</si>
  <si>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</si>
  <si>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</si>
  <si>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</si>
  <si>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</si>
  <si>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</si>
  <si>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</si>
  <si>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</si>
  <si>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</si>
  <si>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</si>
  <si>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</si>
  <si>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</si>
  <si>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</si>
  <si>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</si>
  <si>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</si>
  <si>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</si>
  <si>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</si>
  <si>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</si>
  <si>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</si>
  <si>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</si>
  <si>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</si>
  <si>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</si>
  <si>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</si>
  <si>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</si>
  <si>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</si>
  <si>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</si>
  <si>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</si>
  <si>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</si>
  <si>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</si>
  <si>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</si>
  <si>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</si>
  <si>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</si>
  <si>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</si>
  <si>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</si>
  <si>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</si>
  <si>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</si>
  <si>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</si>
  <si>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</si>
  <si>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</si>
  <si>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</si>
  <si>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</si>
  <si>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</si>
  <si>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</si>
  <si>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</si>
  <si>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</si>
  <si>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</si>
  <si>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</si>
  <si>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</si>
  <si>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</si>
  <si>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</si>
  <si>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</si>
  <si>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</si>
  <si>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</si>
  <si>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</si>
  <si>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</si>
  <si>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</si>
  <si>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</si>
  <si>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</si>
  <si>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</si>
  <si>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</si>
  <si>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</si>
  <si>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</si>
  <si>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</si>
  <si>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</si>
  <si>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</si>
  <si>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</si>
  <si>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</si>
  <si>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</si>
  <si>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</si>
  <si>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</si>
  <si>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</si>
  <si>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</si>
  <si>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</si>
  <si>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</si>
  <si>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</si>
  <si>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</si>
  <si>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</si>
  <si>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</si>
  <si>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</si>
  <si>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</si>
  <si>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</si>
  <si>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</si>
  <si>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</si>
  <si>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</si>
  <si>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</si>
  <si>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</si>
  <si>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</si>
  <si>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</si>
  <si>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</si>
  <si>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</si>
  <si>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</si>
  <si>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</si>
  <si>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</si>
  <si>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</si>
  <si>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</si>
  <si>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</si>
  <si>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</si>
  <si>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</si>
  <si>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</si>
  <si>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</si>
  <si>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</si>
  <si>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</si>
  <si>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</si>
  <si>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</si>
  <si>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</si>
  <si>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</si>
  <si>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</si>
  <si>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</si>
  <si>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</si>
  <si>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</si>
  <si>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</si>
  <si>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</si>
  <si>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</si>
  <si>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</si>
  <si>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</si>
  <si>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</si>
  <si>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</si>
  <si>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</si>
  <si>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</si>
  <si>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</si>
  <si>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</si>
  <si>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</si>
  <si>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</si>
  <si>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</si>
  <si>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</si>
  <si>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</si>
  <si>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</si>
  <si>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</si>
  <si>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</si>
  <si>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</si>
  <si>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</si>
  <si>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</si>
  <si>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</si>
  <si>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</si>
  <si>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</si>
  <si>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</si>
  <si>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</si>
  <si>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</si>
  <si>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</si>
  <si>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</si>
  <si>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</si>
  <si>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</si>
  <si>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</si>
  <si>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</si>
  <si>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</si>
  <si>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</si>
  <si>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</si>
  <si>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</si>
  <si>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</si>
  <si>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</si>
  <si>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</si>
  <si>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</si>
  <si>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</si>
  <si>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</si>
  <si>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</si>
  <si>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</si>
  <si>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</si>
  <si>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</si>
  <si>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</si>
  <si>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</si>
  <si>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</si>
  <si>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</si>
  <si>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</si>
  <si>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</si>
  <si>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</si>
  <si>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</si>
  <si>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</si>
  <si>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</si>
  <si>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</si>
  <si>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</si>
  <si>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</si>
  <si>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</si>
  <si>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</si>
  <si>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</si>
  <si>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</si>
  <si>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</si>
  <si>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</si>
  <si>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</si>
  <si>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</si>
  <si>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</si>
  <si>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</si>
  <si>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</si>
  <si>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</si>
  <si>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</si>
  <si>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</si>
  <si>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</si>
  <si>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</si>
  <si>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</si>
  <si>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</si>
  <si>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</si>
  <si>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</si>
  <si>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</si>
  <si>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</si>
  <si>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</si>
  <si>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</si>
  <si>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</si>
  <si>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</si>
  <si>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</si>
  <si>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</si>
  <si>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</si>
  <si>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</si>
  <si>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</si>
  <si>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</si>
  <si>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</si>
  <si>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</si>
  <si>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</si>
  <si>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</si>
  <si>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</si>
  <si>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</si>
  <si>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</si>
  <si>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</si>
  <si>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</si>
  <si>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</si>
  <si>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</si>
  <si>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</si>
  <si>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</si>
  <si>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</si>
  <si>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</si>
  <si>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</si>
  <si>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</si>
  <si>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</si>
  <si>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</si>
  <si>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</si>
  <si>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</si>
  <si>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</si>
  <si>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</si>
  <si>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</si>
  <si>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</si>
  <si>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</si>
  <si>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</si>
  <si>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</si>
  <si>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</si>
  <si>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</si>
  <si>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</si>
  <si>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</si>
  <si>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</si>
  <si>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</si>
  <si>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</si>
  <si>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</si>
  <si>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</si>
  <si>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</si>
  <si>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</si>
  <si>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</si>
  <si>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</si>
  <si>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</si>
  <si>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</si>
  <si>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</si>
  <si>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</si>
  <si>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</si>
  <si>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</si>
  <si>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</si>
  <si>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</si>
  <si>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</si>
  <si>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</si>
  <si>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</si>
  <si>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</si>
  <si>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</si>
  <si>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</si>
  <si>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</si>
  <si>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</si>
  <si>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</si>
  <si>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</si>
  <si>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</si>
  <si>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</si>
  <si>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</si>
  <si>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</si>
  <si>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</si>
  <si>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</si>
  <si>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</si>
  <si>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</si>
  <si>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</si>
  <si>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</si>
  <si>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</si>
  <si>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</si>
  <si>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</si>
  <si>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</si>
  <si>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</si>
  <si>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</si>
  <si>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</si>
  <si>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</si>
  <si>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</si>
  <si>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</si>
  <si>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</si>
  <si>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</si>
  <si>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</si>
  <si>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</si>
  <si>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</si>
  <si>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</si>
  <si>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</si>
  <si>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</si>
  <si>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</si>
  <si>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</si>
  <si>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</si>
  <si>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</si>
  <si>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</si>
  <si>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</si>
  <si>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</si>
  <si>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</si>
  <si>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</si>
  <si>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</si>
  <si>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</si>
  <si>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</si>
  <si>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</si>
  <si>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</si>
  <si>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</si>
  <si>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</si>
  <si>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</si>
  <si>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</si>
  <si>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</si>
  <si>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</si>
  <si>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</si>
  <si>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</si>
  <si>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</si>
  <si>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</si>
  <si>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</si>
  <si>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</si>
  <si>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</si>
  <si>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</si>
  <si>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</si>
  <si>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</si>
  <si>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</si>
  <si>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</si>
  <si>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</si>
  <si>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</si>
  <si>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</si>
  <si>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</si>
  <si>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</si>
  <si>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</si>
  <si>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</si>
  <si>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</si>
  <si>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</si>
  <si>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</si>
  <si>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</si>
  <si>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</si>
  <si>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</si>
  <si>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</si>
  <si>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</si>
  <si>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</si>
  <si>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</si>
  <si>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</si>
  <si>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</si>
  <si>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</si>
  <si>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</si>
  <si>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</si>
  <si>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</si>
  <si>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</si>
  <si>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</si>
  <si>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</si>
  <si>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</si>
  <si>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</si>
  <si>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</si>
  <si>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</si>
  <si>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</si>
  <si>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</si>
  <si>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</si>
  <si>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</si>
  <si>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</si>
  <si>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</si>
  <si>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</si>
  <si>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</si>
  <si>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</si>
  <si>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</si>
  <si>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</si>
  <si>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</si>
  <si>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</si>
  <si>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</si>
  <si>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</si>
  <si>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</si>
  <si>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</si>
  <si>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</si>
  <si>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</si>
  <si>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</si>
  <si>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</si>
  <si>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</si>
  <si>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</si>
  <si>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</si>
  <si>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</si>
  <si>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</si>
  <si>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</si>
  <si>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</si>
  <si>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</si>
  <si>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</si>
  <si>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</si>
  <si>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</si>
  <si>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</si>
  <si>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</si>
  <si>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</si>
  <si>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</si>
  <si>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</si>
  <si>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</si>
  <si>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</si>
  <si>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</si>
  <si>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</si>
  <si>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</si>
  <si>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</si>
  <si>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</si>
  <si>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</si>
  <si>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</si>
  <si>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</si>
  <si>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</si>
  <si>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</si>
  <si>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</si>
  <si>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</si>
  <si>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</si>
  <si>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</si>
  <si>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</si>
  <si>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</si>
  <si>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</si>
  <si>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</si>
  <si>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</si>
  <si>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</si>
  <si>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</si>
  <si>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</si>
  <si>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</si>
  <si>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</si>
  <si>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</si>
  <si>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</si>
  <si>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</si>
  <si>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</si>
  <si>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</si>
  <si>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</si>
  <si>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</si>
  <si>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</si>
  <si>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</si>
  <si>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</si>
  <si>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</si>
  <si>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</si>
  <si>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</si>
  <si>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</si>
  <si>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</si>
  <si>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</si>
  <si>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</si>
  <si>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</si>
  <si>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</si>
  <si>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</si>
  <si>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</si>
  <si>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</si>
  <si>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</si>
  <si>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</si>
  <si>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</si>
  <si>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</si>
  <si>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</si>
  <si>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</si>
  <si>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</si>
  <si>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</si>
  <si>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</si>
  <si>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</si>
  <si>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</si>
  <si>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</si>
  <si>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</si>
  <si>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</si>
  <si>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</si>
  <si>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</si>
  <si>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</si>
  <si>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</si>
  <si>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</si>
  <si>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</si>
  <si>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</si>
  <si>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</si>
  <si>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</si>
  <si>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</si>
  <si>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</si>
  <si>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</si>
  <si>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</si>
  <si>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</si>
  <si>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</si>
  <si>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</si>
  <si>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</si>
  <si>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</si>
  <si>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</si>
  <si>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</si>
  <si>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</si>
  <si>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</si>
  <si>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</si>
  <si>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</si>
  <si>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</si>
  <si>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</si>
  <si>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</si>
  <si>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</si>
  <si>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</si>
  <si>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</si>
  <si>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</si>
  <si>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</si>
  <si>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</si>
  <si>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</si>
  <si>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</si>
  <si>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</si>
  <si>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</si>
  <si>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</si>
  <si>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</si>
  <si>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</si>
  <si>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</si>
  <si>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</si>
  <si>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</si>
  <si>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</si>
  <si>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</si>
  <si>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</si>
  <si>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</si>
  <si>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</si>
  <si>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</si>
  <si>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</si>
  <si>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</si>
  <si>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</si>
  <si>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</si>
  <si>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</si>
  <si>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</si>
  <si>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</si>
  <si>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</si>
  <si>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</si>
  <si>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</si>
  <si>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</si>
  <si>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</si>
  <si>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</si>
  <si>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</si>
  <si>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</si>
  <si>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</si>
  <si>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</si>
  <si>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</si>
  <si>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</si>
  <si>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</si>
  <si>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</si>
  <si>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</si>
  <si>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</si>
  <si>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</si>
  <si>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</si>
  <si>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</si>
  <si>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</si>
  <si>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</si>
  <si>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</si>
  <si>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</si>
  <si>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</si>
  <si>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</si>
  <si>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</si>
  <si>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</si>
  <si>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</si>
  <si>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</si>
  <si>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</si>
  <si>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</si>
  <si>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</si>
  <si>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</si>
  <si>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</si>
  <si>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</si>
  <si>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</si>
  <si>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</si>
  <si>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</si>
  <si>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</si>
  <si>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</si>
  <si>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</si>
  <si>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</si>
  <si>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</si>
  <si>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</si>
  <si>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</si>
  <si>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</si>
  <si>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</si>
  <si>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</si>
  <si>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</si>
  <si>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</si>
  <si>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</si>
  <si>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</si>
  <si>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</si>
  <si>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</si>
  <si>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</si>
  <si>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</si>
  <si>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</si>
  <si>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</si>
  <si>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</si>
  <si>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</si>
  <si>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</si>
  <si>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</si>
  <si>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</si>
  <si>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</si>
  <si>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</si>
  <si>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</si>
  <si>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</si>
  <si>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</si>
  <si>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</si>
  <si>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</si>
  <si>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</si>
  <si>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</si>
  <si>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</si>
  <si>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</si>
  <si>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</si>
  <si>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</si>
  <si>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</si>
  <si>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</si>
  <si>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</si>
  <si>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</si>
  <si>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</si>
  <si>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</si>
  <si>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</si>
  <si>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</si>
  <si>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</si>
  <si>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</si>
  <si>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</si>
  <si>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</si>
  <si>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</si>
  <si>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</si>
  <si>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</si>
  <si>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</si>
  <si>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</si>
  <si>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</si>
  <si>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</si>
  <si>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</si>
  <si>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</si>
  <si>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</si>
  <si>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</si>
  <si>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</si>
  <si>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</si>
  <si>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</si>
  <si>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</si>
  <si>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</si>
  <si>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</si>
  <si>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</si>
  <si>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</si>
  <si>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</si>
  <si>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</si>
  <si>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</si>
  <si>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</si>
  <si>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</si>
  <si>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</si>
  <si>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</si>
  <si>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</si>
  <si>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</si>
  <si>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</si>
  <si>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</si>
  <si>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</si>
  <si>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</si>
  <si>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</si>
  <si>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</si>
  <si>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</si>
  <si>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</si>
  <si>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</si>
  <si>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</si>
  <si>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</si>
  <si>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</si>
  <si>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</si>
  <si>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</si>
  <si>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</si>
  <si>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</si>
  <si>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</si>
  <si>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</si>
  <si>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</si>
  <si>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</si>
  <si>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</si>
  <si>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</si>
  <si>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</si>
  <si>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</si>
  <si>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</si>
  <si>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</si>
  <si>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</si>
  <si>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</si>
  <si>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</si>
  <si>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</si>
  <si>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</si>
  <si>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</si>
  <si>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</si>
  <si>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</si>
  <si>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</si>
  <si>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</si>
  <si>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</si>
  <si>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</si>
  <si>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</si>
  <si>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</si>
  <si>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</si>
  <si>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</si>
  <si>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</si>
  <si>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</si>
  <si>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</si>
  <si>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</si>
  <si>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</si>
  <si>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</si>
  <si>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</si>
  <si>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</si>
  <si>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</si>
  <si>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</si>
  <si>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</si>
  <si>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</si>
  <si>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</si>
  <si>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</si>
  <si>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</si>
  <si>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</si>
  <si>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</si>
  <si>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</si>
  <si>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</si>
  <si>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</si>
  <si>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</si>
  <si>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</si>
  <si>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</si>
  <si>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</si>
  <si>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</si>
  <si>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</si>
  <si>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</si>
  <si>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</si>
  <si>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</si>
  <si>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</si>
  <si>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</si>
  <si>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</si>
  <si>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</si>
  <si>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</si>
  <si>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</si>
  <si>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</si>
  <si>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</si>
  <si>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</si>
  <si>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</si>
  <si>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</si>
  <si>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</si>
  <si>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</si>
  <si>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</si>
  <si>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</si>
  <si>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</si>
  <si>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</si>
  <si>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</si>
  <si>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</si>
  <si>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</si>
  <si>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</si>
  <si>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</si>
  <si>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</si>
  <si>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</si>
  <si>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</si>
  <si>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</si>
  <si>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</si>
  <si>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</si>
  <si>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</si>
  <si>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</si>
  <si>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</si>
  <si>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</si>
  <si>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</si>
  <si>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</si>
  <si>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</si>
  <si>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</si>
  <si>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</si>
  <si>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</si>
  <si>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</si>
  <si>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</si>
  <si>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</si>
  <si>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</si>
  <si>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</si>
  <si>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</si>
  <si>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</si>
  <si>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</si>
  <si>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</si>
  <si>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</si>
  <si>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</si>
  <si>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</si>
  <si>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</si>
  <si>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</si>
  <si>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</si>
  <si>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</si>
  <si>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</si>
  <si>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</si>
  <si>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</si>
  <si>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</si>
  <si>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</si>
  <si>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</si>
  <si>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</si>
  <si>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</si>
  <si>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</si>
  <si>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</si>
  <si>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</si>
  <si>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</si>
  <si>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</si>
  <si>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</si>
  <si>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</si>
  <si>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</si>
  <si>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</si>
  <si>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</si>
  <si>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</si>
  <si>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</si>
  <si>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</si>
  <si>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</si>
  <si>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</si>
  <si>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</si>
  <si>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</si>
  <si>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</si>
  <si>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</si>
  <si>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</si>
  <si>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</si>
  <si>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</si>
  <si>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</si>
  <si>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</si>
  <si>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</si>
  <si>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</si>
  <si>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</si>
  <si>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</si>
  <si>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</si>
  <si>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</si>
  <si>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</si>
  <si>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</si>
  <si>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</si>
  <si>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</si>
  <si>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</si>
  <si>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</si>
  <si>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</si>
  <si>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</si>
  <si>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</si>
  <si>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</si>
  <si>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</si>
  <si>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</si>
  <si>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</si>
  <si>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</si>
  <si>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</si>
  <si>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</si>
  <si>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</si>
  <si>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</si>
  <si>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</si>
  <si>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</si>
  <si>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</si>
  <si>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</si>
  <si>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</si>
  <si>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</si>
  <si>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</si>
  <si>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</si>
  <si>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</si>
  <si>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</si>
  <si>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</si>
  <si>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</si>
  <si>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</si>
  <si>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</si>
  <si>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</si>
  <si>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</si>
  <si>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</si>
  <si>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</si>
  <si>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</si>
  <si>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</si>
  <si>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</si>
  <si>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</si>
  <si>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</si>
  <si>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</si>
  <si>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</si>
  <si>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</si>
  <si>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</si>
  <si>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</si>
  <si>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</si>
  <si>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</si>
  <si>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</si>
  <si>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</si>
  <si>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</si>
  <si>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</si>
  <si>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</si>
  <si>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</si>
  <si>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</si>
  <si>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</si>
  <si>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</si>
  <si>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</si>
  <si>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</si>
  <si>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</si>
  <si>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</si>
  <si>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</si>
  <si>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</si>
  <si>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</si>
  <si>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</si>
  <si>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</si>
  <si>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</si>
  <si>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</si>
  <si>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</si>
  <si>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</si>
  <si>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</si>
  <si>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</si>
  <si>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</si>
  <si>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</si>
  <si>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</si>
  <si>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</si>
  <si>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</si>
  <si>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</si>
  <si>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</si>
  <si>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</si>
  <si>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</si>
  <si>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</si>
  <si>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</si>
  <si>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</si>
  <si>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</si>
  <si>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</si>
  <si>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</si>
  <si>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</si>
  <si>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</si>
  <si>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</si>
  <si>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</si>
  <si>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</si>
  <si>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</si>
  <si>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</si>
  <si>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</si>
  <si>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</si>
  <si>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</si>
  <si>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</si>
  <si>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</si>
  <si>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</si>
  <si>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</si>
  <si>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</si>
  <si>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</si>
  <si>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</si>
  <si>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</si>
  <si>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</si>
  <si>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</si>
  <si>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</si>
  <si>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</si>
  <si>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</si>
  <si>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</si>
  <si>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</si>
  <si>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</si>
  <si>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</si>
  <si>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</si>
  <si>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</si>
  <si>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</si>
  <si>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</si>
  <si>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</si>
  <si>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</si>
  <si>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</si>
  <si>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</si>
  <si>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</si>
  <si>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</si>
  <si>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</si>
  <si>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</si>
  <si>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</si>
  <si>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</si>
  <si>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</si>
  <si>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</si>
  <si>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</si>
  <si>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</si>
  <si>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</si>
  <si>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</si>
  <si>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</si>
  <si>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</si>
  <si>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</si>
  <si>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</si>
  <si>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</si>
  <si>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</si>
  <si>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</si>
  <si>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</si>
  <si>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</si>
  <si>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</si>
  <si>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</si>
  <si>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</si>
  <si>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</si>
  <si>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</si>
  <si>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</si>
  <si>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</si>
  <si>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</si>
  <si>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</si>
  <si>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</si>
  <si>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</si>
  <si>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</si>
  <si>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</si>
  <si>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</si>
  <si>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</si>
  <si>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</si>
  <si>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</si>
  <si>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</si>
  <si>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</si>
  <si>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</si>
  <si>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</si>
  <si>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</si>
  <si>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</si>
  <si>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</si>
  <si>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</si>
  <si>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</si>
  <si>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</si>
  <si>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</si>
  <si>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</si>
  <si>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</si>
  <si>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</si>
  <si>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</si>
  <si>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</si>
  <si>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</si>
  <si>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</si>
  <si>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</si>
  <si>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</si>
  <si>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</si>
  <si>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</si>
  <si>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</si>
  <si>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</si>
  <si>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</si>
  <si>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</si>
  <si>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</si>
  <si>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</si>
  <si>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</si>
  <si>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</si>
  <si>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</si>
  <si>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</si>
  <si>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</si>
  <si>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</si>
  <si>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</si>
  <si>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</si>
  <si>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</si>
  <si>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</si>
  <si>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</si>
  <si>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</si>
  <si>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</si>
  <si>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</si>
  <si>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</si>
  <si>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</si>
  <si>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</si>
  <si>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</si>
  <si>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</si>
  <si>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</si>
  <si>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</si>
  <si>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</si>
  <si>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</si>
  <si>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</si>
  <si>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</si>
  <si>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</si>
  <si>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</si>
  <si>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</si>
  <si>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</si>
  <si>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</si>
  <si>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</si>
  <si>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</si>
  <si>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</si>
  <si>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</si>
  <si>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</si>
  <si>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</si>
  <si>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</si>
  <si>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</si>
  <si>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</si>
  <si>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</si>
  <si>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</si>
  <si>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</si>
  <si>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</si>
  <si>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</si>
  <si>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</si>
  <si>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</si>
  <si>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</si>
  <si>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</si>
  <si>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</si>
  <si>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</si>
  <si>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</si>
  <si>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</si>
  <si>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</si>
  <si>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</si>
  <si>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</si>
  <si>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</si>
  <si>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</si>
  <si>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</si>
  <si>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</si>
  <si>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</si>
  <si>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</si>
  <si>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</si>
  <si>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</si>
  <si>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</si>
  <si>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</si>
  <si>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</si>
  <si>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</si>
  <si>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</si>
  <si>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</si>
  <si>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</si>
  <si>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</si>
  <si>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</si>
  <si>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</si>
  <si>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</si>
  <si>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</si>
  <si>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</si>
  <si>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</si>
  <si>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</si>
  <si>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</si>
  <si>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</si>
  <si>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</si>
  <si>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</si>
  <si>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</si>
  <si>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</si>
  <si>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</si>
  <si>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</si>
  <si>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</si>
  <si>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</si>
  <si>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</si>
  <si>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</si>
  <si>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</si>
  <si>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</si>
  <si>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</si>
  <si>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</si>
  <si>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</si>
  <si>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</si>
  <si>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</si>
  <si>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</si>
  <si>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</si>
  <si>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</si>
  <si>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</si>
  <si>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</si>
  <si>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</si>
  <si>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</si>
  <si>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</si>
  <si>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</si>
  <si>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</si>
  <si>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</si>
  <si>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</si>
  <si>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</si>
  <si>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</si>
  <si>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</si>
  <si>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</si>
  <si>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</si>
  <si>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</si>
  <si>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</si>
  <si>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</si>
  <si>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</si>
  <si>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</si>
  <si>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</si>
  <si>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</si>
  <si>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</si>
  <si>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</si>
  <si>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</si>
  <si>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</si>
  <si>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</si>
  <si>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</si>
  <si>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</si>
  <si>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</si>
  <si>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</si>
  <si>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</si>
  <si>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</si>
  <si>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</si>
  <si>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</si>
  <si>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</si>
  <si>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</si>
  <si>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</si>
  <si>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</si>
  <si>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</si>
  <si>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</si>
  <si>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</si>
  <si>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</si>
  <si>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</si>
  <si>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</si>
  <si>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</si>
  <si>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</si>
  <si>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</si>
  <si>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</si>
  <si>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</si>
  <si>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</si>
  <si>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</si>
  <si>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</si>
  <si>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</si>
  <si>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</si>
  <si>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</si>
  <si>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</si>
  <si>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</si>
  <si>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</si>
  <si>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</si>
  <si>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</si>
  <si>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</si>
  <si>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</si>
  <si>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</si>
  <si>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</si>
  <si>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</si>
  <si>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</si>
  <si>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</si>
  <si>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</si>
  <si>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</si>
  <si>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</si>
  <si>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</si>
  <si>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</si>
  <si>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</si>
  <si>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</si>
  <si>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</si>
  <si>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</si>
  <si>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</si>
  <si>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</si>
  <si>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</si>
  <si>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</si>
  <si>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</si>
  <si>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</si>
  <si>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</si>
  <si>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</si>
  <si>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</si>
  <si>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</si>
  <si>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</si>
  <si>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</si>
  <si>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</si>
  <si>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</si>
  <si>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</si>
  <si>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</si>
  <si>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</si>
  <si>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</si>
  <si>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</si>
  <si>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</si>
  <si>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</si>
  <si>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</si>
  <si>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</si>
  <si>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</si>
  <si>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</si>
  <si>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</si>
  <si>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</si>
  <si>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</si>
  <si>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</si>
  <si>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</si>
  <si>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</si>
  <si>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</si>
  <si>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</si>
  <si>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</si>
  <si>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</si>
  <si>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</si>
  <si>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</si>
  <si>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</si>
  <si>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</si>
  <si>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</si>
  <si>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</si>
  <si>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</si>
  <si>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</si>
  <si>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</si>
  <si>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</si>
  <si>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</si>
  <si>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</si>
  <si>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</si>
  <si>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</si>
  <si>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</si>
  <si>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</si>
  <si>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</si>
  <si>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</si>
  <si>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</si>
  <si>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</si>
  <si>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</si>
  <si>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</si>
  <si>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</si>
  <si>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</si>
  <si>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</si>
  <si>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</si>
  <si>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</si>
  <si>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</si>
  <si>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</si>
  <si>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</si>
  <si>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</si>
  <si>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</si>
  <si>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</si>
  <si>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</si>
  <si>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</si>
  <si>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</si>
  <si>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</si>
  <si>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</si>
  <si>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</si>
  <si>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</si>
  <si>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</si>
  <si>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</si>
  <si>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</si>
  <si>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</si>
  <si>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</si>
  <si>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</si>
  <si>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</si>
  <si>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</si>
  <si>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</si>
  <si>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</si>
  <si>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</si>
  <si>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</si>
  <si>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</si>
  <si>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</si>
  <si>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</si>
  <si>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</si>
  <si>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</si>
  <si>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</si>
  <si>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</si>
  <si>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</si>
  <si>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</si>
  <si>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</si>
  <si>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</si>
  <si>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</si>
  <si>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</si>
  <si>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</si>
  <si>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</si>
  <si>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</si>
  <si>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</si>
  <si>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</si>
  <si>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</si>
  <si>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</si>
  <si>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</si>
  <si>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</si>
  <si>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</si>
  <si>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</si>
  <si>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</si>
  <si>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</si>
  <si>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</si>
  <si>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</si>
  <si>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</si>
  <si>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</si>
  <si>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</si>
  <si>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</si>
  <si>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</si>
  <si>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</si>
  <si>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</si>
  <si>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</si>
  <si>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</si>
  <si>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</si>
  <si>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</si>
  <si>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</si>
  <si>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</si>
  <si>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</si>
  <si>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</si>
  <si>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</si>
  <si>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</si>
  <si>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</si>
  <si>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</si>
  <si>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</si>
  <si>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</si>
  <si>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</si>
  <si>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</si>
  <si>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</si>
  <si>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</si>
  <si>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</si>
  <si>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</si>
  <si>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</si>
  <si>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</si>
  <si>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</si>
  <si>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</si>
  <si>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</si>
  <si>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</si>
  <si>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</si>
  <si>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</si>
  <si>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</si>
  <si>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</si>
  <si>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</si>
  <si>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</si>
  <si>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</si>
  <si>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</si>
  <si>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</si>
  <si>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</si>
  <si>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</si>
  <si>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</si>
  <si>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</si>
  <si>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</si>
  <si>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</si>
  <si>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</si>
  <si>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</si>
  <si>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</si>
  <si>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</si>
  <si>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</si>
  <si>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</si>
  <si>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</si>
  <si>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</si>
  <si>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</si>
  <si>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</si>
  <si>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</si>
  <si>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</si>
  <si>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</si>
  <si>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</si>
  <si>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</si>
  <si>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</si>
  <si>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</si>
  <si>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</si>
  <si>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</si>
  <si>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</si>
  <si>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</si>
  <si>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</si>
  <si>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</si>
  <si>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</si>
  <si>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</si>
  <si>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</si>
  <si>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</si>
  <si>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</si>
  <si>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</si>
  <si>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</si>
  <si>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</si>
  <si>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</si>
  <si>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</si>
  <si>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</si>
  <si>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</si>
  <si>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</si>
  <si>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</si>
  <si>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</si>
  <si>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</si>
  <si>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</si>
  <si>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</si>
  <si>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</si>
  <si>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</si>
  <si>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</si>
  <si>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</si>
  <si>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</si>
  <si>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</si>
  <si>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</si>
  <si>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</si>
  <si>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</si>
  <si>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</si>
  <si>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</si>
  <si>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</si>
  <si>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</si>
  <si>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</si>
  <si>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</si>
  <si>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</si>
  <si>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</si>
  <si>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</si>
  <si>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</si>
  <si>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</si>
  <si>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</si>
  <si>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</si>
  <si>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</si>
  <si>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</si>
  <si>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</si>
  <si>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</si>
  <si>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</si>
  <si>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</si>
  <si>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</si>
  <si>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</si>
  <si>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</si>
  <si>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</si>
  <si>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</si>
  <si>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</si>
  <si>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</si>
  <si>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</si>
  <si>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</si>
  <si>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</si>
  <si>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</si>
  <si>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</si>
  <si>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</si>
  <si>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</si>
  <si>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</si>
  <si>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</si>
  <si>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</si>
  <si>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</si>
  <si>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</si>
  <si>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</si>
  <si>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</si>
  <si>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</si>
  <si>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</si>
  <si>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</si>
  <si>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</si>
  <si>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</si>
  <si>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</si>
  <si>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</si>
  <si>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</si>
  <si>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</si>
  <si>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</si>
  <si>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</si>
  <si>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</si>
  <si>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</si>
  <si>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</si>
  <si>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</si>
  <si>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</si>
  <si>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</si>
  <si>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</si>
  <si>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</si>
  <si>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</si>
  <si>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</si>
  <si>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</si>
  <si>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</si>
  <si>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</si>
  <si>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</si>
  <si>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</si>
  <si>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</si>
  <si>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</si>
  <si>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</si>
  <si>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</si>
  <si>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</si>
  <si>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</si>
  <si>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</si>
  <si>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</si>
  <si>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</si>
  <si>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</si>
  <si>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</si>
  <si>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</si>
  <si>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</si>
  <si>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</si>
  <si>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</si>
  <si>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</si>
  <si>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</si>
  <si>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</si>
  <si>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</si>
  <si>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</si>
  <si>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</si>
  <si>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</si>
  <si>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</si>
  <si>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</si>
  <si>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</si>
  <si>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</si>
  <si>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</si>
  <si>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</si>
  <si>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</si>
  <si>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</si>
  <si>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</si>
  <si>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</si>
  <si>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</si>
  <si>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</si>
  <si>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</si>
  <si>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</si>
  <si>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</si>
  <si>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</si>
  <si>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</si>
  <si>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</si>
  <si>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</si>
  <si>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</si>
  <si>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</si>
  <si>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</si>
  <si>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</si>
  <si>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</si>
  <si>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</si>
  <si>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</si>
  <si>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</si>
  <si>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</si>
  <si>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</si>
  <si>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</si>
  <si>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</si>
  <si>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</si>
  <si>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</si>
  <si>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</si>
  <si>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</si>
  <si>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</si>
  <si>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</si>
  <si>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</si>
  <si>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</si>
  <si>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</si>
  <si>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</si>
  <si>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</si>
  <si>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</si>
  <si>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</si>
  <si>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</si>
  <si>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</si>
  <si>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</si>
  <si>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</si>
  <si>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</si>
  <si>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</si>
  <si>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</si>
  <si>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</si>
  <si>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</si>
  <si>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</si>
  <si>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</si>
  <si>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</si>
  <si>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</si>
  <si>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</si>
  <si>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</si>
  <si>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</si>
  <si>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</si>
  <si>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</si>
  <si>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</si>
  <si>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</si>
  <si>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</si>
  <si>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</si>
  <si>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</si>
  <si>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</si>
  <si>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</si>
  <si>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</si>
  <si>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</si>
  <si>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</si>
  <si>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</si>
  <si>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</si>
  <si>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</si>
  <si>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</si>
  <si>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</si>
  <si>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</si>
  <si>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</si>
  <si>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</si>
  <si>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</si>
  <si>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</si>
  <si>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</si>
  <si>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</si>
  <si>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</si>
  <si>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</si>
  <si>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</si>
  <si>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</si>
  <si>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</si>
  <si>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</si>
  <si>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</si>
  <si>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</si>
  <si>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</si>
  <si>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</si>
  <si>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</si>
  <si>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</si>
  <si>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</si>
  <si>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</si>
  <si>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</si>
  <si>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</si>
  <si>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</si>
  <si>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</si>
  <si>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</si>
  <si>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</si>
  <si>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</si>
  <si>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</si>
  <si>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</si>
  <si>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</si>
  <si>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</si>
  <si>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</si>
  <si>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</si>
  <si>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</si>
  <si>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</si>
  <si>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</si>
  <si>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</si>
  <si>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</si>
  <si>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</si>
  <si>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</si>
  <si>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</si>
  <si>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</si>
  <si>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</si>
  <si>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</si>
  <si>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</si>
  <si>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</si>
  <si>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</si>
  <si>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</si>
  <si>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</si>
  <si>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</si>
  <si>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</si>
  <si>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</si>
  <si>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</si>
  <si>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</si>
  <si>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</si>
  <si>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</si>
  <si>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</si>
  <si>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</si>
  <si>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</si>
  <si>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</si>
  <si>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</si>
  <si>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</si>
  <si>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</si>
  <si>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</si>
  <si>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</si>
  <si>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</si>
  <si>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</si>
  <si>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</si>
  <si>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</si>
  <si>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</si>
  <si>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</si>
  <si>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</si>
  <si>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</si>
  <si>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</si>
  <si>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</si>
  <si>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</si>
  <si>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</si>
  <si>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</si>
  <si>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</si>
  <si>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</si>
  <si>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</si>
  <si>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</si>
  <si>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</si>
  <si>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</si>
  <si>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</si>
  <si>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</si>
  <si>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</si>
  <si>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</si>
  <si>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</si>
  <si>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</si>
  <si>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</si>
  <si>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</si>
  <si>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</si>
  <si>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</si>
  <si>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</si>
  <si>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</si>
  <si>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</si>
  <si>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</si>
  <si>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</si>
  <si>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</si>
  <si>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</si>
  <si>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</si>
  <si>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</si>
  <si>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</si>
  <si>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</si>
  <si>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</si>
  <si>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</si>
  <si>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</si>
  <si>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</si>
  <si>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</si>
  <si>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</si>
  <si>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</si>
  <si>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</si>
  <si>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</si>
  <si>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</si>
  <si>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</si>
  <si>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</si>
  <si>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</si>
  <si>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</si>
  <si>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</si>
  <si>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</si>
  <si>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</si>
  <si>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</si>
  <si>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</si>
  <si>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</si>
  <si>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</si>
  <si>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</si>
  <si>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</si>
  <si>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</si>
  <si>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</si>
  <si>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</si>
  <si>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</si>
  <si>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</si>
  <si>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</si>
  <si>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</si>
  <si>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</si>
  <si>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</si>
  <si>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</si>
  <si>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</si>
  <si>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</si>
  <si>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</si>
  <si>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</si>
  <si>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</si>
  <si>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</si>
  <si>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</si>
  <si>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</si>
  <si>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</si>
  <si>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</si>
  <si>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</si>
  <si>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</si>
  <si>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</si>
  <si>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</si>
  <si>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</si>
  <si>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</si>
  <si>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</si>
  <si>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</si>
  <si>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</si>
  <si>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</si>
  <si>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</si>
  <si>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</si>
  <si>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</si>
  <si>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</si>
  <si>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</si>
  <si>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</si>
  <si>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</si>
  <si>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</si>
  <si>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</si>
  <si>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</si>
  <si>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</si>
  <si>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</si>
  <si>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</si>
  <si>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</si>
  <si>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</si>
  <si>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</si>
  <si>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</si>
  <si>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</si>
  <si>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</si>
  <si>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</si>
  <si>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</si>
  <si>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</si>
  <si>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</si>
  <si>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</si>
  <si>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</si>
  <si>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</si>
  <si>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</si>
  <si>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</si>
  <si>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</si>
  <si>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</si>
  <si>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</si>
  <si>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</si>
  <si>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</si>
  <si>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</si>
  <si>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</si>
  <si>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</si>
  <si>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</si>
  <si>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</si>
  <si>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</si>
  <si>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</si>
  <si>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</si>
  <si>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</si>
  <si>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</si>
  <si>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</si>
  <si>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</si>
  <si>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</si>
  <si>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</si>
  <si>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</si>
  <si>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</si>
  <si>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</si>
  <si>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</si>
  <si>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</si>
  <si>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</si>
  <si>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</si>
  <si>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</si>
  <si>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</si>
  <si>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</si>
  <si>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</si>
  <si>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</si>
  <si>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</si>
  <si>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</si>
  <si>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</si>
  <si>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</si>
  <si>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</si>
  <si>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</si>
  <si>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</si>
  <si>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</si>
  <si>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</si>
  <si>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</si>
  <si>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</si>
  <si>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</si>
  <si>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</si>
  <si>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</si>
  <si>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</si>
  <si>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</si>
  <si>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</si>
  <si>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</si>
  <si>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</si>
  <si>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</si>
  <si>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</si>
  <si>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</si>
  <si>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</si>
  <si>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</si>
  <si>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</si>
  <si>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</si>
  <si>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</si>
  <si>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</si>
  <si>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</si>
  <si>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</si>
  <si>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</si>
  <si>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</si>
  <si>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</si>
  <si>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</si>
  <si>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</si>
  <si>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</si>
  <si>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</si>
  <si>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</si>
  <si>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</si>
  <si>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</si>
  <si>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</si>
  <si>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</si>
  <si>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</si>
  <si>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</si>
  <si>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</si>
  <si>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</si>
  <si>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</si>
  <si>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</si>
  <si>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</si>
  <si>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</si>
  <si>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</si>
  <si>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</si>
  <si>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</si>
  <si>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</si>
  <si>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</si>
  <si>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</si>
  <si>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</si>
  <si>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</si>
  <si>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</si>
  <si>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</si>
  <si>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</si>
  <si>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</si>
  <si>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</si>
  <si>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</si>
  <si>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</si>
  <si>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</si>
  <si>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</si>
  <si>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</si>
  <si>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</si>
  <si>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</si>
  <si>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</si>
  <si>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</si>
  <si>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</si>
  <si>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</si>
  <si>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</si>
  <si>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</si>
  <si>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</si>
  <si>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</si>
  <si>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</si>
  <si>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</si>
  <si>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</si>
  <si>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</si>
  <si>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</si>
  <si>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</si>
  <si>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</si>
  <si>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</si>
  <si>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</si>
  <si>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</si>
  <si>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</si>
  <si>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</si>
  <si>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</si>
  <si>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</si>
  <si>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</si>
  <si>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</si>
  <si>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</si>
  <si>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</si>
  <si>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</si>
  <si>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</si>
  <si>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</si>
  <si>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</si>
  <si>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</si>
  <si>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</si>
  <si>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</si>
  <si>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</si>
  <si>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</si>
  <si>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</si>
  <si>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</si>
  <si>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</si>
  <si>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</si>
  <si>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</si>
  <si>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</si>
  <si>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</si>
  <si>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</si>
  <si>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</si>
  <si>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</si>
  <si>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</si>
  <si>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</si>
  <si>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</si>
  <si>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</si>
  <si>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</si>
  <si>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</si>
  <si>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</si>
  <si>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</si>
  <si>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</si>
  <si>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</si>
  <si>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</si>
  <si>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</si>
  <si>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</si>
  <si>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</si>
  <si>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</si>
  <si>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</si>
  <si>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</si>
  <si>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</si>
  <si>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</si>
  <si>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</si>
  <si>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</si>
  <si>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</si>
  <si>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</si>
  <si>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</si>
  <si>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</si>
  <si>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</si>
  <si>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</si>
  <si>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</si>
  <si>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</si>
  <si>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</si>
  <si>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</si>
  <si>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</si>
  <si>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</si>
  <si>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</si>
  <si>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</si>
  <si>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</si>
  <si>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</si>
  <si>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</si>
  <si>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</si>
  <si>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</si>
  <si>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</si>
  <si>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</si>
  <si>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</si>
  <si>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</si>
  <si>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</si>
  <si>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</si>
  <si>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</si>
  <si>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</si>
  <si>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</si>
  <si>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</si>
  <si>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</si>
  <si>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</si>
  <si>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</si>
  <si>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</si>
  <si>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</si>
  <si>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</si>
  <si>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</si>
  <si>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</si>
  <si>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</si>
  <si>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</si>
  <si>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</si>
  <si>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</si>
  <si>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</si>
  <si>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</si>
  <si>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</si>
  <si>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</si>
  <si>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</si>
  <si>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</si>
  <si>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</si>
  <si>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</si>
  <si>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</si>
  <si>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</si>
  <si>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</si>
  <si>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</si>
  <si>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</si>
  <si>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</si>
  <si>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</si>
  <si>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</si>
  <si>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</si>
  <si>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</si>
  <si>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</si>
  <si>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</si>
  <si>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</si>
  <si>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</si>
  <si>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</si>
  <si>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</si>
  <si>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</si>
  <si>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</si>
  <si>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</si>
  <si>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</si>
  <si>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</si>
  <si>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</si>
  <si>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</si>
  <si>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</si>
  <si>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</si>
  <si>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</si>
  <si>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</si>
  <si>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</si>
  <si>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</si>
  <si>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</si>
  <si>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</si>
  <si>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</si>
  <si>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</si>
  <si>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</si>
  <si>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</si>
  <si>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</si>
  <si>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</si>
  <si>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</si>
  <si>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</si>
  <si>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</si>
  <si>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</si>
  <si>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</si>
  <si>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</si>
  <si>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</si>
  <si>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</si>
  <si>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</si>
  <si>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</si>
  <si>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</si>
  <si>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</si>
  <si>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</si>
  <si>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</si>
  <si>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</si>
  <si>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</si>
  <si>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</si>
  <si>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</si>
  <si>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</si>
  <si>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</si>
  <si>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</si>
  <si>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</si>
  <si>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</si>
  <si>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</si>
  <si>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</si>
  <si>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</si>
  <si>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</si>
  <si>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</si>
  <si>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</si>
  <si>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</si>
  <si>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</si>
  <si>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</si>
  <si>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</si>
  <si>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</si>
  <si>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</si>
  <si>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</si>
  <si>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</si>
  <si>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</si>
  <si>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</si>
  <si>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</si>
  <si>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</si>
  <si>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</si>
  <si>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</si>
  <si>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</si>
  <si>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</si>
  <si>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</si>
  <si>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</si>
  <si>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</si>
  <si>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</si>
  <si>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</si>
  <si>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</si>
  <si>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</si>
  <si>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</si>
  <si>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</si>
  <si>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</si>
  <si>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</si>
  <si>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</si>
  <si>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</si>
  <si>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</si>
  <si>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</si>
  <si>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</si>
  <si>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</si>
  <si>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</si>
  <si>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</si>
  <si>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</si>
  <si>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</si>
  <si>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</si>
  <si>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</si>
  <si>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</si>
  <si>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</si>
  <si>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</si>
  <si>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</si>
  <si>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</si>
  <si>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</si>
  <si>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</si>
  <si>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</si>
  <si>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</si>
  <si>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</si>
  <si>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</si>
  <si>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</si>
  <si>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</si>
  <si>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</si>
  <si>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</si>
  <si>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</si>
  <si>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</si>
  <si>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</si>
  <si>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</si>
  <si>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</si>
  <si>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</si>
  <si>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</si>
  <si>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</si>
  <si>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</si>
  <si>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</si>
  <si>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</si>
  <si>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</si>
  <si>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</si>
  <si>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</si>
  <si>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</si>
  <si>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</si>
  <si>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</si>
  <si>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</si>
  <si>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</si>
  <si>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</si>
  <si>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</si>
  <si>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</si>
  <si>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</si>
  <si>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</si>
  <si>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</si>
  <si>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</si>
  <si>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</si>
  <si>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</si>
  <si>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</si>
  <si>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</si>
  <si>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</si>
  <si>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</si>
  <si>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</si>
  <si>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</si>
  <si>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</si>
  <si>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</si>
  <si>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</si>
  <si>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</si>
  <si>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</si>
  <si>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</si>
  <si>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</si>
  <si>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</si>
  <si>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</si>
  <si>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</si>
  <si>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</si>
  <si>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</si>
  <si>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</si>
  <si>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</si>
  <si>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</si>
  <si>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</si>
  <si>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</si>
  <si>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</si>
  <si>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</si>
  <si>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</si>
  <si>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</si>
  <si>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</si>
  <si>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</si>
  <si>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</si>
  <si>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</si>
  <si>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</si>
  <si>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</si>
  <si>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</si>
  <si>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</si>
  <si>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</si>
  <si>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</si>
  <si>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</si>
  <si>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</si>
  <si>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</si>
  <si>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</si>
  <si>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</si>
  <si>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</si>
  <si>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</si>
  <si>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</si>
  <si>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</si>
  <si>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</si>
  <si>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</si>
  <si>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</si>
  <si>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</si>
  <si>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</si>
  <si>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</si>
  <si>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</si>
  <si>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</si>
  <si>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</si>
  <si>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</si>
  <si>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</si>
  <si>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</si>
  <si>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</si>
  <si>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</si>
  <si>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</si>
  <si>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</si>
  <si>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</si>
  <si>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</si>
  <si>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</si>
  <si>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</si>
  <si>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</si>
  <si>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</si>
  <si>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</si>
  <si>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</si>
  <si>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</si>
  <si>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</si>
  <si>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</si>
  <si>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</si>
  <si>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</si>
  <si>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</si>
  <si>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</si>
  <si>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</si>
  <si>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</si>
  <si>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</si>
  <si>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</si>
  <si>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</si>
  <si>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</si>
  <si>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</si>
  <si>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</si>
  <si>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</si>
  <si>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</si>
  <si>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</si>
  <si>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</si>
  <si>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</si>
  <si>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</si>
  <si>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</si>
  <si>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</si>
  <si>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</si>
  <si>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</si>
  <si>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</si>
  <si>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</si>
  <si>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</si>
  <si>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</si>
  <si>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</si>
  <si>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</si>
  <si>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</si>
  <si>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</si>
  <si>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</si>
  <si>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</si>
  <si>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</si>
  <si>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</si>
  <si>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</si>
  <si>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</si>
  <si>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</si>
  <si>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</si>
  <si>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</si>
  <si>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</si>
  <si>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</si>
  <si>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</si>
  <si>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</si>
  <si>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</si>
  <si>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</si>
  <si>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</si>
  <si>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</si>
  <si>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</si>
  <si>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</si>
  <si>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</si>
  <si>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</si>
  <si>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</si>
  <si>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</si>
  <si>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</si>
  <si>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</si>
  <si>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</si>
  <si>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</si>
  <si>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</si>
  <si>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</si>
  <si>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</si>
  <si>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</si>
  <si>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</si>
  <si>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</si>
  <si>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</si>
  <si>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</si>
  <si>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</si>
  <si>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</si>
  <si>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</si>
  <si>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</si>
  <si>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</si>
  <si>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</si>
  <si>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</si>
  <si>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</si>
  <si>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</si>
  <si>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</si>
  <si>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</si>
  <si>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</si>
  <si>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</si>
  <si>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</si>
  <si>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</si>
  <si>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</si>
  <si>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</si>
  <si>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</si>
  <si>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</si>
  <si>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</si>
  <si>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</si>
  <si>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</si>
  <si>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</si>
  <si>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</si>
  <si>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</si>
  <si>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</si>
  <si>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</si>
  <si>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</si>
  <si>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</si>
  <si>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</si>
  <si>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</si>
  <si>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</si>
  <si>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</si>
  <si>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</si>
  <si>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</si>
  <si>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</si>
  <si>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</si>
  <si>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</si>
  <si>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</si>
  <si>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</si>
  <si>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</si>
  <si>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</si>
  <si>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</si>
  <si>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</si>
  <si>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</si>
  <si>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</si>
  <si>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</si>
  <si>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</si>
  <si>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</si>
  <si>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</si>
  <si>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</si>
  <si>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</si>
  <si>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</si>
  <si>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</si>
  <si>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</si>
  <si>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</si>
  <si>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</si>
  <si>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</si>
  <si>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</si>
  <si>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</si>
  <si>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</si>
  <si>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</si>
  <si>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</si>
  <si>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</si>
  <si>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</si>
  <si>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</si>
  <si>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</si>
  <si>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</si>
  <si>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</si>
  <si>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</si>
  <si>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</si>
  <si>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</si>
  <si>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</si>
  <si>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</si>
  <si>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</si>
  <si>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</si>
  <si>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</si>
  <si>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</si>
  <si>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</si>
  <si>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</si>
  <si>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</si>
  <si>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</si>
  <si>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</si>
  <si>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</si>
  <si>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</si>
  <si>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</si>
  <si>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</si>
  <si>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</si>
  <si>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</si>
  <si>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</si>
  <si>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</si>
  <si>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</si>
  <si>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</si>
  <si>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</si>
  <si>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</si>
  <si>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</si>
  <si>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</si>
  <si>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</si>
  <si>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</si>
  <si>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</si>
  <si>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</si>
  <si>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</si>
  <si>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</si>
  <si>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</si>
  <si>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</si>
  <si>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</si>
  <si>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</si>
  <si>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</si>
  <si>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</si>
  <si>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</si>
  <si>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</si>
  <si>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</si>
  <si>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</si>
  <si>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</si>
  <si>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</si>
  <si>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</si>
  <si>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</si>
  <si>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</si>
  <si>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</si>
  <si>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</si>
  <si>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</si>
  <si>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</si>
  <si>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</si>
  <si>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</si>
  <si>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</si>
  <si>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</si>
  <si>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</si>
  <si>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</si>
  <si>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</si>
  <si>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</si>
  <si>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</si>
  <si>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</si>
  <si>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</si>
  <si>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</si>
  <si>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</si>
  <si>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</si>
  <si>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</si>
  <si>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</si>
  <si>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</si>
  <si>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</si>
  <si>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</si>
  <si>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</si>
  <si>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</si>
  <si>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</si>
  <si>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</si>
  <si>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</si>
  <si>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</si>
  <si>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</si>
  <si>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</si>
  <si>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</si>
  <si>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</si>
  <si>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</si>
  <si>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</si>
  <si>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</si>
  <si>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</si>
  <si>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</si>
  <si>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</si>
  <si>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</si>
  <si>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</si>
  <si>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</si>
  <si>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</si>
  <si>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</si>
  <si>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</si>
  <si>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</si>
  <si>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</si>
  <si>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</si>
  <si>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</si>
  <si>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</si>
  <si>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</si>
  <si>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</si>
  <si>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</si>
  <si>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</si>
  <si>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</si>
  <si>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</si>
  <si>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</si>
  <si>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</si>
  <si>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</si>
  <si>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</si>
  <si>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</si>
  <si>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</si>
  <si>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</si>
  <si>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</si>
  <si>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</si>
  <si>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</si>
  <si>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</si>
  <si>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</si>
  <si>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</si>
  <si>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</si>
  <si>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</si>
  <si>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</si>
  <si>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</si>
  <si>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</si>
  <si>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</si>
  <si>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</si>
  <si>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</si>
  <si>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</si>
  <si>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</si>
  <si>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</si>
  <si>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</si>
  <si>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</si>
  <si>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</si>
  <si>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</si>
  <si>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</si>
  <si>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</si>
  <si>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</si>
  <si>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</si>
  <si>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</si>
  <si>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</si>
  <si>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</si>
  <si>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</si>
  <si>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</si>
  <si>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</si>
  <si>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</si>
  <si>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</si>
  <si>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</si>
  <si>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</si>
  <si>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</si>
  <si>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</si>
  <si>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</si>
  <si>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</si>
  <si>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</si>
  <si>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</si>
  <si>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</si>
  <si>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</si>
  <si>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</si>
  <si>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</si>
  <si>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</si>
  <si>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</si>
  <si>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</si>
  <si>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</si>
  <si>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</si>
  <si>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</si>
  <si>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</si>
  <si>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</si>
  <si>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</si>
  <si>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</si>
  <si>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</si>
  <si>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</si>
  <si>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</si>
  <si>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</si>
  <si>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</si>
  <si>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</si>
  <si>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</si>
  <si>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</si>
  <si>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</si>
  <si>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</si>
  <si>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</si>
  <si>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</si>
  <si>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</si>
  <si>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</si>
  <si>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</si>
  <si>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</si>
  <si>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</si>
  <si>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</si>
  <si>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</si>
  <si>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</si>
  <si>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</si>
  <si>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</si>
  <si>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</si>
  <si>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</si>
  <si>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</si>
  <si>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</si>
  <si>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</si>
  <si>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</si>
  <si>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</si>
  <si>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</si>
  <si>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</si>
  <si>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</si>
  <si>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</si>
  <si>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</si>
  <si>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</si>
  <si>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</si>
  <si>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</si>
  <si>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</si>
  <si>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</si>
  <si>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</si>
  <si>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</si>
  <si>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</si>
  <si>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</si>
  <si>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</si>
  <si>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</si>
  <si>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</si>
  <si>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</si>
  <si>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</si>
  <si>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</si>
  <si>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</si>
  <si>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</si>
  <si>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</si>
  <si>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</si>
  <si>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</si>
  <si>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</si>
  <si>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</si>
  <si>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</si>
  <si>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</si>
  <si>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</si>
  <si>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</si>
  <si>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</si>
  <si>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</si>
  <si>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</si>
  <si>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</si>
  <si>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</si>
  <si>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</si>
  <si>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</si>
  <si>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</si>
  <si>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</si>
  <si>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</si>
  <si>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</si>
  <si>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</si>
  <si>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</si>
  <si>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</si>
  <si>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</si>
  <si>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</si>
  <si>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</si>
  <si>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</si>
  <si>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</si>
  <si>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</si>
  <si>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</si>
  <si>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</si>
  <si>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</si>
  <si>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</si>
  <si>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</si>
  <si>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</si>
  <si>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</si>
  <si>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COLAGNE</t>
  </si>
  <si>
    <t xml:space="preserve">LA COLAGNE EN AMONT DE MARVEJOLS (PONT DE LA D30)</t>
  </si>
  <si>
    <t xml:space="preserve">05101420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</si>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</sst>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12.21875</v>
      </c>
      <c r="N5" s="324"/>
      <c r="O5" s="325" t="s">
        <v>899</v>
      </c>
      <c r="P5" s="326" t="n">
        <v>11.6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50</v>
      </c>
      <c r="C7" s="342" t="n">
        <v>50</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11.375</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3400</v>
      </c>
      <c r="B9" s="358" t="n">
        <v>40</v>
      </c>
      <c r="C9" s="359" t="n">
        <v>20</v>
      </c>
      <c r="D9" s="360"/>
      <c r="E9" s="360"/>
      <c r="F9" s="361" t="n">
        <f aca="false">($B9*$B$7+$C9*$C$7)/100</f>
        <v>30</v>
      </c>
      <c r="G9" s="362"/>
      <c r="H9" s="317"/>
      <c r="I9" s="281"/>
      <c r="J9" s="363"/>
      <c r="K9" s="364"/>
      <c r="L9" s="347"/>
      <c r="M9" s="365"/>
      <c r="N9" s="355" t="s">
        <v>3401</v>
      </c>
      <c r="O9" s="356" t="n">
        <f aca="false">IF(ISERROR(STDEVP(J23:J82))," ",STDEVP(J23:J82))</f>
        <v>3.06611181574754</v>
      </c>
      <c r="P9" s="356" t="n">
        <f aca="false">IF(ISERROR(STDEVP(K23:K82)),"  ",STDEVP(K23:K82))</f>
        <v>0.623609564462324</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9</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9</v>
      </c>
      <c r="M13" s="381"/>
      <c r="N13" s="389" t="s">
        <v>3413</v>
      </c>
      <c r="O13" s="390" t="n">
        <f aca="false">COUNTIF(F23:F82,"&gt;0")</f>
        <v>31</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24</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12</v>
      </c>
      <c r="M15" s="381"/>
      <c r="N15" s="389" t="s">
        <v>3419</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12</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0.774193548387097</v>
      </c>
      <c r="N17" s="389" t="s">
        <v>3424</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29.294</v>
      </c>
      <c r="C20" s="433" t="n">
        <f aca="false">SUM(C23:C82)</f>
        <v>20.73</v>
      </c>
      <c r="D20" s="434"/>
      <c r="E20" s="435" t="s">
        <v>3426</v>
      </c>
      <c r="F20" s="436" t="n">
        <f aca="false">($B20*$B$7+$C20*$C$7)/100</f>
        <v>25.012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14.647</v>
      </c>
      <c r="C21" s="444" t="n">
        <f aca="false">C20*C7/100</f>
        <v>10.365</v>
      </c>
      <c r="D21" s="445" t="s">
        <v>3429</v>
      </c>
      <c r="E21" s="446"/>
      <c r="F21" s="447" t="n">
        <f aca="false">B21+C21</f>
        <v>25.012</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c r="C23" s="473" t="n">
        <v>0.005</v>
      </c>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0.0025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0.0025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169</v>
      </c>
      <c r="B24" s="490" t="n">
        <v>0.008</v>
      </c>
      <c r="C24" s="491" t="n">
        <v>0.008</v>
      </c>
      <c r="D24" s="492" t="str">
        <f aca="false">IF(ISERROR(VLOOKUP($A24,'liste reference'!$A$6:$B$1174,2,0)),IF(ISERROR(VLOOKUP($A24,'liste reference'!$B$6:$B$1174,1,0)),"",VLOOKUP($A24,'liste reference'!$B$6:$B$1174,1,0)),VLOOKUP($A24,'liste reference'!$A$6:$B$1174,2,0))</f>
        <v>Fragilaria sp.</v>
      </c>
      <c r="E24" s="493" t="e">
        <f aca="false">IF(D24="",0,VLOOKUP(D24,D$22:D23,1,0))</f>
        <v>#N/A</v>
      </c>
      <c r="F24" s="494" t="n">
        <f aca="false">IF(AND(OR(A24="",A24="!!!!!!"),B24="",C24=""),"",IF(OR(AND(B24="",C24=""),ISERROR(C24+B24)),"!!!",($B24*$B$7+$C24*$C$7)/100))</f>
        <v>0.008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Fragilaria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9533</v>
      </c>
      <c r="R24" s="484" t="n">
        <f aca="false">IF(ISTEXT(H24),"",(B24*$B$7/100)+(C24*$C$7/100))</f>
        <v>0.008</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FRASPX</v>
      </c>
      <c r="Z24" s="470" t="n">
        <f aca="false">IF(ISERROR(MATCH(A24,'liste reference'!$A$6:$A$1174,0)),IF(ISERROR(MATCH(A24,'liste reference'!$B$6:$B$1174,0)),"",(MATCH(A24,'liste reference'!$B$6:$B$1174,0))),(MATCH(A24,'liste reference'!$A$6:$A$1174,0)))</f>
        <v>46</v>
      </c>
    </row>
    <row r="25" customFormat="false" ht="12.75" hidden="false" customHeight="false" outlineLevel="0" collapsed="false">
      <c r="A25" s="489" t="s">
        <v>228</v>
      </c>
      <c r="B25" s="490" t="n">
        <v>0.007</v>
      </c>
      <c r="C25" s="491" t="n">
        <v>0.007</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0.007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0.007</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239</v>
      </c>
      <c r="B26" s="490" t="n">
        <v>0.1</v>
      </c>
      <c r="C26" s="491" t="n">
        <v>0.5</v>
      </c>
      <c r="D26" s="492" t="str">
        <f aca="false">IF(ISERROR(VLOOKUP($A26,'liste reference'!$A$6:$B$1174,2,0)),IF(ISERROR(VLOOKUP($A26,'liste reference'!$B$6:$B$1174,1,0)),"",VLOOKUP($A26,'liste reference'!$B$6:$B$1174,1,0)),VLOOKUP($A26,'liste reference'!$A$6:$B$1174,2,0))</f>
        <v>Microspora sp.</v>
      </c>
      <c r="E26" s="493" t="e">
        <f aca="false">IF(D26="",0,VLOOKUP(D26,D$22:D25,1,0))</f>
        <v>#N/A</v>
      </c>
      <c r="F26" s="494" t="n">
        <f aca="false">IF(AND(OR(A26="",A26="!!!!!!"),B26="",C26=""),"",IF(OR(AND(B26="",C26=""),ISERROR(C26+B26)),"!!!",($B26*$B$7+$C26*$C$7)/100))</f>
        <v>0.3</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12</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Microspora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1132</v>
      </c>
      <c r="R26" s="484" t="n">
        <f aca="false">IF(ISTEXT(H26),"",(B26*$B$7/100)+(C26*$C$7/100))</f>
        <v>0.3</v>
      </c>
      <c r="S26" s="485" t="n">
        <f aca="false">IF(OR(ISTEXT(H26),R26=0),"",IF(R26&lt;0.1,1,IF(R26&lt;1,2,IF(R26&lt;10,3,IF(R26&lt;50,4,IF(R26&gt;=50,5,""))))))</f>
        <v>2</v>
      </c>
      <c r="T26" s="485" t="n">
        <f aca="false">IF(ISERROR(S26*J26),0,S26*J26)</f>
        <v>24</v>
      </c>
      <c r="U26" s="485" t="n">
        <f aca="false">IF(ISERROR(S26*J26*K26),0,S26*J26*K26)</f>
        <v>48</v>
      </c>
      <c r="V26" s="501" t="n">
        <f aca="false">IF(ISERROR(S26*K26),0,S26*K26)</f>
        <v>4</v>
      </c>
      <c r="W26" s="502"/>
      <c r="X26" s="503"/>
      <c r="Y26" s="488" t="str">
        <f aca="false">IF(AND(ISNUMBER(F26),OR(A26="",A26="!!!!!!")),"!!!!!!",IF(A26="new.cod","NEWCOD",IF(AND((Z26=""),ISTEXT(A26),A26&lt;&gt;"!!!!!!"),A26,IF(Z26="","",INDEX('liste reference'!$A$6:$A$1174,Z26)))))</f>
        <v>MICSPX</v>
      </c>
      <c r="Z26" s="470" t="n">
        <f aca="false">IF(ISERROR(MATCH(A26,'liste reference'!$A$6:$A$1174,0)),IF(ISERROR(MATCH(A26,'liste reference'!$B$6:$B$1174,0)),"",(MATCH(A26,'liste reference'!$B$6:$B$1174,0))),(MATCH(A26,'liste reference'!$A$6:$A$1174,0)))</f>
        <v>66</v>
      </c>
    </row>
    <row r="27" customFormat="false" ht="12.75" hidden="false" customHeight="false" outlineLevel="0" collapsed="false">
      <c r="A27" s="489" t="s">
        <v>300</v>
      </c>
      <c r="B27" s="490" t="n">
        <v>0.005</v>
      </c>
      <c r="C27" s="491" t="n">
        <v>0.26</v>
      </c>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0.1325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0.1325</v>
      </c>
      <c r="S27" s="485" t="n">
        <f aca="false">IF(OR(ISTEXT(H27),R27=0),"",IF(R27&lt;0.1,1,IF(R27&lt;1,2,IF(R27&lt;10,3,IF(R27&lt;50,4,IF(R27&gt;=50,5,""))))))</f>
        <v>2</v>
      </c>
      <c r="T27" s="485" t="n">
        <f aca="false">IF(ISERROR(S27*J27),0,S27*J27)</f>
        <v>12</v>
      </c>
      <c r="U27" s="485" t="n">
        <f aca="false">IF(ISERROR(S27*J27*K27),0,S27*J27*K27)</f>
        <v>24</v>
      </c>
      <c r="V27" s="501" t="n">
        <f aca="false">IF(ISERROR(S27*K27),0,S27*K27)</f>
        <v>4</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309</v>
      </c>
      <c r="B28" s="490"/>
      <c r="C28" s="491" t="n">
        <v>0.005</v>
      </c>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0.0025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0.0025</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343</v>
      </c>
      <c r="B29" s="490" t="n">
        <v>0.01</v>
      </c>
      <c r="C29" s="491"/>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0.005</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348</v>
      </c>
      <c r="B30" s="490"/>
      <c r="C30" s="491" t="n">
        <v>0.005</v>
      </c>
      <c r="D30" s="492" t="str">
        <f aca="false">IF(ISERROR(VLOOKUP($A30,'liste reference'!$A$6:$B$1174,2,0)),IF(ISERROR(VLOOKUP($A30,'liste reference'!$B$6:$B$1174,1,0)),"",VLOOKUP($A30,'liste reference'!$B$6:$B$1174,1,0)),VLOOKUP($A30,'liste reference'!$A$6:$B$1174,2,0))</f>
        <v>Stigeoclonium sp. (excep. S. tenue)</v>
      </c>
      <c r="E30" s="493" t="e">
        <f aca="false">IF(D30="",0,VLOOKUP(D30,D$22:D29,1,0))</f>
        <v>#N/A</v>
      </c>
      <c r="F30" s="494" t="n">
        <f aca="false">IF(AND(OR(A30="",A30="!!!!!!"),B30="",C30=""),"",IF(OR(AND(B30="",C30=""),ISERROR(C30+B30)),"!!!",($B30*$B$7+$C30*$C$7)/100))</f>
        <v>0.0025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Stigeoclonium sp. (excep. S. tenue)</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1119</v>
      </c>
      <c r="R30" s="484" t="n">
        <f aca="false">IF(ISTEXT(H30),"",(B30*$B$7/100)+(C30*$C$7/100))</f>
        <v>0.0025</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STISPX</v>
      </c>
      <c r="Z30" s="470" t="n">
        <f aca="false">IF(ISERROR(MATCH(A30,'liste reference'!$A$6:$A$1174,0)),IF(ISERROR(MATCH(A30,'liste reference'!$B$6:$B$1174,0)),"",(MATCH(A30,'liste reference'!$B$6:$B$1174,0))),(MATCH(A30,'liste reference'!$A$6:$A$1174,0)))</f>
        <v>104</v>
      </c>
    </row>
    <row r="31" customFormat="false" ht="12.75" hidden="false" customHeight="false" outlineLevel="0" collapsed="false">
      <c r="A31" s="489" t="s">
        <v>395</v>
      </c>
      <c r="B31" s="490" t="n">
        <v>0.009</v>
      </c>
      <c r="C31" s="491"/>
      <c r="D31" s="492" t="str">
        <f aca="false">IF(ISERROR(VLOOKUP($A31,'liste reference'!$A$6:$B$1174,2,0)),IF(ISERROR(VLOOKUP($A31,'liste reference'!$B$6:$B$1174,1,0)),"",VLOOKUP($A31,'liste reference'!$B$6:$B$1174,1,0)),VLOOKUP($A31,'liste reference'!$A$6:$B$1174,2,0))</f>
        <v>Vaucheria sp.</v>
      </c>
      <c r="E31" s="493" t="e">
        <f aca="false">IF(D31="",0,VLOOKUP(D31,D$22:D30,1,0))</f>
        <v>#N/A</v>
      </c>
      <c r="F31" s="494" t="n">
        <f aca="false">IF(AND(OR(A31="",A31="!!!!!!"),B31="",C31=""),"",IF(OR(AND(B31="",C31=""),ISERROR(C31+B31)),"!!!",($B31*$B$7+$C31*$C$7)/100))</f>
        <v>0.0045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4</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Vaucheria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1169</v>
      </c>
      <c r="R31" s="484" t="n">
        <f aca="false">IF(ISTEXT(H31),"",(B31*$B$7/100)+(C31*$C$7/100))</f>
        <v>0.0045</v>
      </c>
      <c r="S31" s="485" t="n">
        <f aca="false">IF(OR(ISTEXT(H31),R31=0),"",IF(R31&lt;0.1,1,IF(R31&lt;1,2,IF(R31&lt;10,3,IF(R31&lt;50,4,IF(R31&gt;=50,5,""))))))</f>
        <v>1</v>
      </c>
      <c r="T31" s="485" t="n">
        <f aca="false">IF(ISERROR(S31*J31),0,S31*J31)</f>
        <v>4</v>
      </c>
      <c r="U31" s="485" t="n">
        <f aca="false">IF(ISERROR(S31*J31*K31),0,S31*J31*K31)</f>
        <v>4</v>
      </c>
      <c r="V31" s="501" t="n">
        <f aca="false">IF(ISERROR(S31*K31),0,S31*K31)</f>
        <v>1</v>
      </c>
      <c r="W31" s="502"/>
      <c r="X31" s="503"/>
      <c r="Y31" s="488" t="str">
        <f aca="false">IF(AND(ISNUMBER(F31),OR(A31="",A31="!!!!!!")),"!!!!!!",IF(A31="new.cod","NEWCOD",IF(AND((Z31=""),ISTEXT(A31),A31&lt;&gt;"!!!!!!"),A31,IF(Z31="","",INDEX('liste reference'!$A$6:$A$1174,Z31)))))</f>
        <v>VAUSPX</v>
      </c>
      <c r="Z31" s="470" t="n">
        <f aca="false">IF(ISERROR(MATCH(A31,'liste reference'!$A$6:$A$1174,0)),IF(ISERROR(MATCH(A31,'liste reference'!$B$6:$B$1174,0)),"",(MATCH(A31,'liste reference'!$B$6:$B$1174,0))),(MATCH(A31,'liste reference'!$A$6:$A$1174,0)))</f>
        <v>118</v>
      </c>
    </row>
    <row r="32" customFormat="false" ht="12.75" hidden="false" customHeight="false" outlineLevel="0" collapsed="false">
      <c r="A32" s="489" t="s">
        <v>411</v>
      </c>
      <c r="B32" s="490" t="n">
        <v>0.1</v>
      </c>
      <c r="C32" s="491" t="n">
        <v>0.01</v>
      </c>
      <c r="D32" s="492" t="str">
        <f aca="false">IF(ISERROR(VLOOKUP($A32,'liste reference'!$A$6:$B$1174,2,0)),IF(ISERROR(VLOOKUP($A32,'liste reference'!$B$6:$B$1174,1,0)),"",VLOOKUP($A32,'liste reference'!$B$6:$B$1174,1,0)),VLOOKUP($A32,'liste reference'!$A$6:$B$1174,2,0))</f>
        <v>Dermatocarpon weberi</v>
      </c>
      <c r="E32" s="493" t="e">
        <f aca="false">IF(D32="",0,VLOOKUP(D32,D$22:D31,1,0))</f>
        <v>#N/A</v>
      </c>
      <c r="F32" s="494" t="n">
        <f aca="false">IF(AND(OR(A32="",A32="!!!!!!"),B32="",C32=""),"",IF(OR(AND(B32="",C32=""),ISERROR(C32+B32)),"!!!",($B32*$B$7+$C32*$C$7)/100))</f>
        <v>0.055</v>
      </c>
      <c r="G32" s="495" t="str">
        <f aca="false">IF(A32="","",IF(ISERROR(VLOOKUP($A32,'liste reference'!$A$6:$Q$1174,9,0)),IF(ISERROR(VLOOKUP($A32,'liste reference'!$B$6:$Q$1174,8,0)),"    -",VLOOKUP($A32,'liste reference'!$B$6:$Q$1174,8,0)),VLOOKUP($A32,'liste reference'!$A$6:$Q$1174,9,0)))</f>
        <v>LIC</v>
      </c>
      <c r="H32" s="496" t="n">
        <f aca="false">IF(A32="","x",IF(ISERROR(VLOOKUP($A32,'liste reference'!$A$6:$Q$1174,10,0)),IF(ISERROR(VLOOKUP($A32,'liste reference'!$B$6:$Q$1174,9,0)),"x",VLOOKUP($A32,'liste reference'!$B$6:$Q$1174,9,0)),VLOOKUP($A32,'liste reference'!$A$6:$Q$1174,10,0)))</f>
        <v>3</v>
      </c>
      <c r="I32" s="281" t="n">
        <f aca="false">IF(A32="","",1)</f>
        <v>1</v>
      </c>
      <c r="J32" s="497" t="n">
        <f aca="false">IF(ISNUMBER($H32),IF(ISERROR(VLOOKUP($A32,'liste reference'!$A$6:$Q$1174,6,0)),IF(ISERROR(VLOOKUP($A32,'liste reference'!$B$6:$Q$1174,5,0)),"nu",VLOOKUP($A32,'liste reference'!$B$6:$Q$1174,5,0)),VLOOKUP($A32,'liste reference'!$A$6:$Q$1174,6,0)),"nu")</f>
        <v>16</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Dermatocarpon weberi</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10217</v>
      </c>
      <c r="R32" s="484" t="n">
        <f aca="false">IF(ISTEXT(H32),"",(B32*$B$7/100)+(C32*$C$7/100))</f>
        <v>0.055</v>
      </c>
      <c r="S32" s="485" t="n">
        <f aca="false">IF(OR(ISTEXT(H32),R32=0),"",IF(R32&lt;0.1,1,IF(R32&lt;1,2,IF(R32&lt;10,3,IF(R32&lt;50,4,IF(R32&gt;=50,5,""))))))</f>
        <v>1</v>
      </c>
      <c r="T32" s="485" t="n">
        <f aca="false">IF(ISERROR(S32*J32),0,S32*J32)</f>
        <v>16</v>
      </c>
      <c r="U32" s="485" t="n">
        <f aca="false">IF(ISERROR(S32*J32*K32),0,S32*J32*K32)</f>
        <v>48</v>
      </c>
      <c r="V32" s="501" t="n">
        <f aca="false">IF(ISERROR(S32*K32),0,S32*K32)</f>
        <v>3</v>
      </c>
      <c r="W32" s="502"/>
      <c r="X32" s="503"/>
      <c r="Y32" s="488" t="str">
        <f aca="false">IF(AND(ISNUMBER(F32),OR(A32="",A32="!!!!!!")),"!!!!!!",IF(A32="new.cod","NEWCOD",IF(AND((Z32=""),ISTEXT(A32),A32&lt;&gt;"!!!!!!"),A32,IF(Z32="","",INDEX('liste reference'!$A$6:$A$1174,Z32)))))</f>
        <v>DERWEB</v>
      </c>
      <c r="Z32" s="470" t="n">
        <f aca="false">IF(ISERROR(MATCH(A32,'liste reference'!$A$6:$A$1174,0)),IF(ISERROR(MATCH(A32,'liste reference'!$B$6:$B$1174,0)),"",(MATCH(A32,'liste reference'!$B$6:$B$1174,0))),(MATCH(A32,'liste reference'!$A$6:$A$1174,0)))</f>
        <v>124</v>
      </c>
    </row>
    <row r="33" customFormat="false" ht="12.75" hidden="false" customHeight="false" outlineLevel="0" collapsed="false">
      <c r="A33" s="489" t="s">
        <v>448</v>
      </c>
      <c r="B33" s="490" t="n">
        <v>0.01</v>
      </c>
      <c r="C33" s="491"/>
      <c r="D33" s="492" t="str">
        <f aca="false">IF(ISERROR(VLOOKUP($A33,'liste reference'!$A$6:$B$1174,2,0)),IF(ISERROR(VLOOKUP($A33,'liste reference'!$B$6:$B$1174,1,0)),"",VLOOKUP($A33,'liste reference'!$B$6:$B$1174,1,0)),VLOOKUP($A33,'liste reference'!$A$6:$B$1174,2,0))</f>
        <v>Chiloscyphus polyanthos</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BRh</v>
      </c>
      <c r="H33" s="496" t="n">
        <f aca="false">IF(A33="","x",IF(ISERROR(VLOOKUP($A33,'liste reference'!$A$6:$Q$1174,10,0)),IF(ISERROR(VLOOKUP($A33,'liste reference'!$B$6:$Q$1174,9,0)),"x",VLOOKUP($A33,'liste reference'!$B$6:$Q$1174,9,0)),VLOOKUP($A33,'liste reference'!$A$6:$Q$1174,10,0)))</f>
        <v>4</v>
      </c>
      <c r="I33" s="281" t="n">
        <f aca="false">IF(A33="","",1)</f>
        <v>1</v>
      </c>
      <c r="J33" s="497" t="n">
        <f aca="false">IF(ISNUMBER($H33),IF(ISERROR(VLOOKUP($A33,'liste reference'!$A$6:$Q$1174,6,0)),IF(ISERROR(VLOOKUP($A33,'liste reference'!$B$6:$Q$1174,5,0)),"nu",VLOOKUP($A33,'liste reference'!$B$6:$Q$1174,5,0)),VLOOKUP($A33,'liste reference'!$A$6:$Q$1174,6,0)),"nu")</f>
        <v>15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Chiloscyphus polyanthos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1186</v>
      </c>
      <c r="R33" s="484" t="n">
        <f aca="false">IF(ISTEXT(H33),"",(B33*$B$7/100)+(C33*$C$7/100))</f>
        <v>0.005</v>
      </c>
      <c r="S33" s="485" t="n">
        <f aca="false">IF(OR(ISTEXT(H33),R33=0),"",IF(R33&lt;0.1,1,IF(R33&lt;1,2,IF(R33&lt;10,3,IF(R33&lt;50,4,IF(R33&gt;=50,5,""))))))</f>
        <v>1</v>
      </c>
      <c r="T33" s="485" t="n">
        <f aca="false">IF(ISERROR(S33*J33),0,S33*J33)</f>
        <v>15</v>
      </c>
      <c r="U33" s="485" t="n">
        <f aca="false">IF(ISERROR(S33*J33*K33),0,S33*J33*K33)</f>
        <v>30</v>
      </c>
      <c r="V33" s="501" t="n">
        <f aca="false">IF(ISERROR(S33*K33),0,S33*K33)</f>
        <v>2</v>
      </c>
      <c r="W33" s="502"/>
      <c r="X33" s="503"/>
      <c r="Y33" s="488" t="str">
        <f aca="false">IF(AND(ISNUMBER(F33),OR(A33="",A33="!!!!!!")),"!!!!!!",IF(A33="new.cod","NEWCOD",IF(AND((Z33=""),ISTEXT(A33),A33&lt;&gt;"!!!!!!"),A33,IF(Z33="","",INDEX('liste reference'!$A$6:$A$1174,Z33)))))</f>
        <v>CHIPOL</v>
      </c>
      <c r="Z33" s="470" t="n">
        <f aca="false">IF(ISERROR(MATCH(A33,'liste reference'!$A$6:$A$1174,0)),IF(ISERROR(MATCH(A33,'liste reference'!$B$6:$B$1174,0)),"",(MATCH(A33,'liste reference'!$B$6:$B$1174,0))),(MATCH(A33,'liste reference'!$A$6:$A$1174,0)))</f>
        <v>137</v>
      </c>
    </row>
    <row r="34" customFormat="false" ht="12.75" hidden="false" customHeight="false" outlineLevel="0" collapsed="false">
      <c r="A34" s="489" t="s">
        <v>512</v>
      </c>
      <c r="B34" s="490" t="n">
        <v>0.005</v>
      </c>
      <c r="C34" s="491" t="n">
        <v>0.005</v>
      </c>
      <c r="D34" s="492" t="str">
        <f aca="false">IF(ISERROR(VLOOKUP($A34,'liste reference'!$A$6:$B$1174,2,0)),IF(ISERROR(VLOOKUP($A34,'liste reference'!$B$6:$B$1174,1,0)),"",VLOOKUP($A34,'liste reference'!$B$6:$B$1174,1,0)),VLOOKUP($A34,'liste reference'!$A$6:$B$1174,2,0))</f>
        <v>Marchantia polymorpha</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BRh</v>
      </c>
      <c r="H34" s="496" t="n">
        <f aca="false">IF(A34="","x",IF(ISERROR(VLOOKUP($A34,'liste reference'!$A$6:$Q$1174,10,0)),IF(ISERROR(VLOOKUP($A34,'liste reference'!$B$6:$Q$1174,9,0)),"x",VLOOKUP($A34,'liste reference'!$B$6:$Q$1174,9,0)),VLOOKUP($A34,'liste reference'!$A$6:$Q$1174,10,0)))</f>
        <v>4</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Marchantia polymorpha</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1192</v>
      </c>
      <c r="R34" s="484" t="n">
        <f aca="false">IF(ISTEXT(H34),"",(B34*$B$7/100)+(C34*$C$7/100))</f>
        <v>0.005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MACPOL</v>
      </c>
      <c r="Z34" s="470" t="n">
        <f aca="false">IF(ISERROR(MATCH(A34,'liste reference'!$A$6:$A$1174,0)),IF(ISERROR(MATCH(A34,'liste reference'!$B$6:$B$1174,0)),"",(MATCH(A34,'liste reference'!$B$6:$B$1174,0))),(MATCH(A34,'liste reference'!$A$6:$A$1174,0)))</f>
        <v>156</v>
      </c>
    </row>
    <row r="35" customFormat="false" ht="12.75" hidden="false" customHeight="false" outlineLevel="0" collapsed="false">
      <c r="A35" s="489" t="s">
        <v>645</v>
      </c>
      <c r="B35" s="490" t="n">
        <v>0.02</v>
      </c>
      <c r="C35" s="491"/>
      <c r="D35" s="492" t="str">
        <f aca="false">IF(ISERROR(VLOOKUP($A35,'liste reference'!$A$6:$B$1174,2,0)),IF(ISERROR(VLOOKUP($A35,'liste reference'!$B$6:$B$1174,1,0)),"",VLOOKUP($A35,'liste reference'!$B$6:$B$1174,1,0)),VLOOKUP($A35,'liste reference'!$A$6:$B$1174,2,0))</f>
        <v>Brachythecium rivulare</v>
      </c>
      <c r="E35" s="493" t="e">
        <f aca="false">IF(D35="",0,VLOOKUP(D35,D$22:D34,1,0))</f>
        <v>#N/A</v>
      </c>
      <c r="F35" s="494" t="n">
        <f aca="false">IF(AND(OR(A35="",A35="!!!!!!"),B35="",C35=""),"",IF(OR(AND(B35="",C35=""),ISERROR(C35+B35)),"!!!",($B35*$B$7+$C35*$C$7)/100))</f>
        <v>0.01</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15</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Brachythecium rivulare</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1260</v>
      </c>
      <c r="R35" s="484" t="n">
        <f aca="false">IF(ISTEXT(H35),"",(B35*$B$7/100)+(C35*$C$7/100))</f>
        <v>0.01</v>
      </c>
      <c r="S35" s="485" t="n">
        <f aca="false">IF(OR(ISTEXT(H35),R35=0),"",IF(R35&lt;0.1,1,IF(R35&lt;1,2,IF(R35&lt;10,3,IF(R35&lt;50,4,IF(R35&gt;=50,5,""))))))</f>
        <v>1</v>
      </c>
      <c r="T35" s="485" t="n">
        <f aca="false">IF(ISERROR(S35*J35),0,S35*J35)</f>
        <v>15</v>
      </c>
      <c r="U35" s="485" t="n">
        <f aca="false">IF(ISERROR(S35*J35*K35),0,S35*J35*K35)</f>
        <v>30</v>
      </c>
      <c r="V35" s="501" t="n">
        <f aca="false">IF(ISERROR(S35*K35),0,S35*K35)</f>
        <v>2</v>
      </c>
      <c r="W35" s="502"/>
      <c r="X35" s="503"/>
      <c r="Y35" s="488" t="str">
        <f aca="false">IF(AND(ISNUMBER(F35),OR(A35="",A35="!!!!!!")),"!!!!!!",IF(A35="new.cod","NEWCOD",IF(AND((Z35=""),ISTEXT(A35),A35&lt;&gt;"!!!!!!"),A35,IF(Z35="","",INDEX('liste reference'!$A$6:$A$1174,Z35)))))</f>
        <v>BRARIV</v>
      </c>
      <c r="Z35" s="470" t="n">
        <f aca="false">IF(ISERROR(MATCH(A35,'liste reference'!$A$6:$A$1174,0)),IF(ISERROR(MATCH(A35,'liste reference'!$B$6:$B$1174,0)),"",(MATCH(A35,'liste reference'!$B$6:$B$1174,0))),(MATCH(A35,'liste reference'!$A$6:$A$1174,0)))</f>
        <v>203</v>
      </c>
    </row>
    <row r="36" customFormat="false" ht="12.75" hidden="false" customHeight="false" outlineLevel="0" collapsed="false">
      <c r="A36" s="489" t="s">
        <v>830</v>
      </c>
      <c r="B36" s="490" t="n">
        <v>0.005</v>
      </c>
      <c r="C36" s="491"/>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0.0025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0.0025</v>
      </c>
      <c r="S36" s="485" t="n">
        <f aca="false">IF(OR(ISTEXT(H36),R36=0),"",IF(R36&lt;0.1,1,IF(R36&lt;1,2,IF(R36&lt;10,3,IF(R36&lt;50,4,IF(R36&gt;=50,5,""))))))</f>
        <v>1</v>
      </c>
      <c r="T36" s="485" t="n">
        <f aca="false">IF(ISERROR(S36*J36),0,S36*J36)</f>
        <v>12</v>
      </c>
      <c r="U36" s="485" t="n">
        <f aca="false">IF(ISERROR(S36*J36*K36),0,S36*J36*K36)</f>
        <v>24</v>
      </c>
      <c r="V36" s="501" t="n">
        <f aca="false">IF(ISERROR(S36*K36),0,S36*K36)</f>
        <v>2</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889</v>
      </c>
      <c r="B37" s="490" t="n">
        <v>0.3</v>
      </c>
      <c r="C37" s="491"/>
      <c r="D37" s="492" t="str">
        <f aca="false">IF(ISERROR(VLOOKUP($A37,'liste reference'!$A$6:$B$1174,2,0)),IF(ISERROR(VLOOKUP($A37,'liste reference'!$B$6:$B$1174,1,0)),"",VLOOKUP($A37,'liste reference'!$B$6:$B$1174,1,0)),VLOOKUP($A37,'liste reference'!$A$6:$B$1174,2,0))</f>
        <v>Fontinalis antipyretica</v>
      </c>
      <c r="E37" s="493" t="e">
        <f aca="false">IF(D37="",0,VLOOKUP(D37,D$22:D36,1,0))</f>
        <v>#N/A</v>
      </c>
      <c r="F37" s="494" t="n">
        <f aca="false">IF(AND(OR(A37="",A37="!!!!!!"),B37="",C37=""),"",IF(OR(AND(B37="",C37=""),ISERROR(C37+B37)),"!!!",($B37*$B$7+$C37*$C$7)/100))</f>
        <v>0.15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Fontinalis antipyretica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1310</v>
      </c>
      <c r="R37" s="484" t="n">
        <f aca="false">IF(ISTEXT(H37),"",(B37*$B$7/100)+(C37*$C$7/100))</f>
        <v>0.15</v>
      </c>
      <c r="S37" s="485" t="n">
        <f aca="false">IF(OR(ISTEXT(H37),R37=0),"",IF(R37&lt;0.1,1,IF(R37&lt;1,2,IF(R37&lt;10,3,IF(R37&lt;50,4,IF(R37&gt;=50,5,""))))))</f>
        <v>2</v>
      </c>
      <c r="T37" s="485" t="n">
        <f aca="false">IF(ISERROR(S37*J37),0,S37*J37)</f>
        <v>20</v>
      </c>
      <c r="U37" s="485" t="n">
        <f aca="false">IF(ISERROR(S37*J37*K37),0,S37*J37*K37)</f>
        <v>20</v>
      </c>
      <c r="V37" s="501" t="n">
        <f aca="false">IF(ISERROR(S37*K37),0,S37*K37)</f>
        <v>2</v>
      </c>
      <c r="W37" s="502"/>
      <c r="X37" s="503"/>
      <c r="Y37" s="488" t="str">
        <f aca="false">IF(AND(ISNUMBER(F37),OR(A37="",A37="!!!!!!")),"!!!!!!",IF(A37="new.cod","NEWCOD",IF(AND((Z37=""),ISTEXT(A37),A37&lt;&gt;"!!!!!!"),A37,IF(Z37="","",INDEX('liste reference'!$A$6:$A$1174,Z37)))))</f>
        <v>FONANT</v>
      </c>
      <c r="Z37" s="470" t="n">
        <f aca="false">IF(ISERROR(MATCH(A37,'liste reference'!$A$6:$A$1174,0)),IF(ISERROR(MATCH(A37,'liste reference'!$B$6:$B$1174,0)),"",(MATCH(A37,'liste reference'!$B$6:$B$1174,0))),(MATCH(A37,'liste reference'!$A$6:$A$1174,0)))</f>
        <v>273</v>
      </c>
    </row>
    <row r="38" customFormat="false" ht="12.75" hidden="false" customHeight="false" outlineLevel="0" collapsed="false">
      <c r="A38" s="489" t="s">
        <v>899</v>
      </c>
      <c r="B38" s="490" t="n">
        <v>2</v>
      </c>
      <c r="C38" s="491"/>
      <c r="D38" s="492" t="str">
        <f aca="false">IF(ISERROR(VLOOKUP($A38,'liste reference'!$A$6:$B$1174,2,0)),IF(ISERROR(VLOOKUP($A38,'liste reference'!$B$6:$B$1174,1,0)),"",VLOOKUP($A38,'liste reference'!$B$6:$B$1174,1,0)),VLOOKUP($A38,'liste reference'!$A$6:$B$1174,2,0))</f>
        <v>Fontinalis squamosa</v>
      </c>
      <c r="E38" s="493" t="e">
        <f aca="false">IF(D38="",0,VLOOKUP(D38,D$22:D37,1,0))</f>
        <v>#N/A</v>
      </c>
      <c r="F38" s="494" t="n">
        <f aca="false">IF(AND(OR(A38="",A38="!!!!!!"),B38="",C38=""),"",IF(OR(AND(B38="",C38=""),ISERROR(C38+B38)),"!!!",($B38*$B$7+$C38*$C$7)/100))</f>
        <v>1</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16</v>
      </c>
      <c r="K38" s="497" t="n">
        <f aca="false">IF(ISNUMBER($H38),IF(ISERROR(VLOOKUP($A38,'liste reference'!$A$6:$Q$1174,7,0)),IF(ISERROR(VLOOKUP($A38,'liste reference'!$B$6:$Q$1174,6,0)),"nu",VLOOKUP($A38,'liste reference'!$B$6:$Q$1174,6,0)),VLOOKUP($A38,'liste reference'!$A$6:$Q$1174,7,0)),"nu")</f>
        <v>3</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Fontinalis squamosa</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1312</v>
      </c>
      <c r="R38" s="484" t="n">
        <f aca="false">IF(ISTEXT(H38),"",(B38*$B$7/100)+(C38*$C$7/100))</f>
        <v>1</v>
      </c>
      <c r="S38" s="485" t="n">
        <f aca="false">IF(OR(ISTEXT(H38),R38=0),"",IF(R38&lt;0.1,1,IF(R38&lt;1,2,IF(R38&lt;10,3,IF(R38&lt;50,4,IF(R38&gt;=50,5,""))))))</f>
        <v>3</v>
      </c>
      <c r="T38" s="485" t="n">
        <f aca="false">IF(ISERROR(S38*J38),0,S38*J38)</f>
        <v>48</v>
      </c>
      <c r="U38" s="485" t="n">
        <f aca="false">IF(ISERROR(S38*J38*K38),0,S38*J38*K38)</f>
        <v>144</v>
      </c>
      <c r="V38" s="501" t="n">
        <f aca="false">IF(ISERROR(S38*K38),0,S38*K38)</f>
        <v>9</v>
      </c>
      <c r="W38" s="502"/>
      <c r="X38" s="503"/>
      <c r="Y38" s="488" t="str">
        <f aca="false">IF(AND(ISNUMBER(F38),OR(A38="",A38="!!!!!!")),"!!!!!!",IF(A38="new.cod","NEWCOD",IF(AND((Z38=""),ISTEXT(A38),A38&lt;&gt;"!!!!!!"),A38,IF(Z38="","",INDEX('liste reference'!$A$6:$A$1174,Z38)))))</f>
        <v>FONSQU</v>
      </c>
      <c r="Z38" s="470" t="n">
        <f aca="false">IF(ISERROR(MATCH(A38,'liste reference'!$A$6:$A$1174,0)),IF(ISERROR(MATCH(A38,'liste reference'!$B$6:$B$1174,0)),"",(MATCH(A38,'liste reference'!$B$6:$B$1174,0))),(MATCH(A38,'liste reference'!$A$6:$A$1174,0)))</f>
        <v>277</v>
      </c>
    </row>
    <row r="39" customFormat="false" ht="12.75" hidden="false" customHeight="false" outlineLevel="0" collapsed="false">
      <c r="A39" s="489" t="s">
        <v>974</v>
      </c>
      <c r="B39" s="490" t="n">
        <v>0.05</v>
      </c>
      <c r="C39" s="491"/>
      <c r="D39" s="492" t="str">
        <f aca="false">IF(ISERROR(VLOOKUP($A39,'liste reference'!$A$6:$B$1174,2,0)),IF(ISERROR(VLOOKUP($A39,'liste reference'!$B$6:$B$1174,1,0)),"",VLOOKUP($A39,'liste reference'!$B$6:$B$1174,1,0)),VLOOKUP($A39,'liste reference'!$A$6:$B$1174,2,0))</f>
        <v>Leptodictyum riparium </v>
      </c>
      <c r="E39" s="493" t="e">
        <f aca="false">IF(D39="",0,VLOOKUP(D39,D$22:D38,1,0))</f>
        <v>#N/A</v>
      </c>
      <c r="F39" s="494" t="n">
        <f aca="false">IF(AND(OR(A39="",A39="!!!!!!"),B39="",C39=""),"",IF(OR(AND(B39="",C39=""),ISERROR(C39+B39)),"!!!",($B39*$B$7+$C39*$C$7)/100))</f>
        <v>0.025</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5</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Leptodictyum riparium </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1244</v>
      </c>
      <c r="R39" s="484" t="n">
        <f aca="false">IF(ISTEXT(H39),"",(B39*$B$7/100)+(C39*$C$7/100))</f>
        <v>0.025</v>
      </c>
      <c r="S39" s="485" t="n">
        <f aca="false">IF(OR(ISTEXT(H39),R39=0),"",IF(R39&lt;0.1,1,IF(R39&lt;1,2,IF(R39&lt;10,3,IF(R39&lt;50,4,IF(R39&gt;=50,5,""))))))</f>
        <v>1</v>
      </c>
      <c r="T39" s="485" t="n">
        <f aca="false">IF(ISERROR(S39*J39),0,S39*J39)</f>
        <v>5</v>
      </c>
      <c r="U39" s="485" t="n">
        <f aca="false">IF(ISERROR(S39*J39*K39),0,S39*J39*K39)</f>
        <v>10</v>
      </c>
      <c r="V39" s="501" t="n">
        <f aca="false">IF(ISERROR(S39*K39),0,S39*K39)</f>
        <v>2</v>
      </c>
      <c r="W39" s="502"/>
      <c r="X39" s="503"/>
      <c r="Y39" s="488" t="str">
        <f aca="false">IF(AND(ISNUMBER(F39),OR(A39="",A39="!!!!!!")),"!!!!!!",IF(A39="new.cod","NEWCOD",IF(AND((Z39=""),ISTEXT(A39),A39&lt;&gt;"!!!!!!"),A39,IF(Z39="","",INDEX('liste reference'!$A$6:$A$1174,Z39)))))</f>
        <v>LEORIP</v>
      </c>
      <c r="Z39" s="470" t="n">
        <f aca="false">IF(ISERROR(MATCH(A39,'liste reference'!$A$6:$A$1174,0)),IF(ISERROR(MATCH(A39,'liste reference'!$B$6:$B$1174,0)),"",(MATCH(A39,'liste reference'!$B$6:$B$1174,0))),(MATCH(A39,'liste reference'!$A$6:$A$1174,0)))</f>
        <v>298</v>
      </c>
    </row>
    <row r="40" customFormat="false" ht="12.75" hidden="false" customHeight="false" outlineLevel="0" collapsed="false">
      <c r="A40" s="489" t="s">
        <v>996</v>
      </c>
      <c r="B40" s="490"/>
      <c r="C40" s="491" t="n">
        <v>0.005</v>
      </c>
      <c r="D40" s="492" t="str">
        <f aca="false">IF(ISERROR(VLOOKUP($A40,'liste reference'!$A$6:$B$1174,2,0)),IF(ISERROR(VLOOKUP($A40,'liste reference'!$B$6:$B$1174,1,0)),"",VLOOKUP($A40,'liste reference'!$B$6:$B$1174,1,0)),VLOOKUP($A40,'liste reference'!$A$6:$B$1174,2,0))</f>
        <v>Oxyrrhynchium hians</v>
      </c>
      <c r="E40" s="493" t="e">
        <f aca="false">IF(D40="",0,VLOOKUP(D40,D$22:D39,1,0))</f>
        <v>#N/A</v>
      </c>
      <c r="F40" s="494" t="n">
        <f aca="false">IF(AND(OR(A40="",A40="!!!!!!"),B40="",C40=""),"",IF(OR(AND(B40="",C40=""),ISERROR(C40+B40)),"!!!",($B40*$B$7+$C40*$C$7)/100))</f>
        <v>0.0025</v>
      </c>
      <c r="G40" s="495" t="str">
        <f aca="false">IF(A40="","",IF(ISERROR(VLOOKUP($A40,'liste reference'!$A$6:$Q$1174,9,0)),IF(ISERROR(VLOOKUP($A40,'liste reference'!$B$6:$Q$1174,8,0)),"    -",VLOOKUP($A40,'liste reference'!$B$6:$Q$1174,8,0)),VLOOKUP($A40,'liste reference'!$A$6:$Q$1174,9,0)))</f>
        <v>BRm</v>
      </c>
      <c r="H40" s="496" t="n">
        <f aca="false">IF(A40="","x",IF(ISERROR(VLOOKUP($A40,'liste reference'!$A$6:$Q$1174,10,0)),IF(ISERROR(VLOOKUP($A40,'liste reference'!$B$6:$Q$1174,9,0)),"x",VLOOKUP($A40,'liste reference'!$B$6:$Q$1174,9,0)),VLOOKUP($A40,'liste reference'!$A$6:$Q$1174,10,0)))</f>
        <v>5</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Oxyrrhynchium hians</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31547</v>
      </c>
      <c r="R40" s="484" t="n">
        <f aca="false">IF(ISTEXT(H40),"",(B40*$B$7/100)+(C40*$C$7/100))</f>
        <v>0.0025</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OXYHIA</v>
      </c>
      <c r="Z40" s="470" t="n">
        <f aca="false">IF(ISERROR(MATCH(A40,'liste reference'!$A$6:$A$1174,0)),IF(ISERROR(MATCH(A40,'liste reference'!$B$6:$B$1174,0)),"",(MATCH(A40,'liste reference'!$B$6:$B$1174,0))),(MATCH(A40,'liste reference'!$A$6:$A$1174,0)))</f>
        <v>307</v>
      </c>
    </row>
    <row r="41" customFormat="false" ht="12.75" hidden="false" customHeight="false" outlineLevel="0" collapsed="false">
      <c r="A41" s="489" t="s">
        <v>1122</v>
      </c>
      <c r="B41" s="490"/>
      <c r="C41" s="491" t="n">
        <v>0.005</v>
      </c>
      <c r="D41" s="492" t="str">
        <f aca="false">IF(ISERROR(VLOOKUP($A41,'liste reference'!$A$6:$B$1174,2,0)),IF(ISERROR(VLOOKUP($A41,'liste reference'!$B$6:$B$1174,1,0)),"",VLOOKUP($A41,'liste reference'!$B$6:$B$1174,1,0)),VLOOKUP($A41,'liste reference'!$A$6:$B$1174,2,0))</f>
        <v>Rhynchostegium riparioides</v>
      </c>
      <c r="E41" s="493" t="e">
        <f aca="false">IF(D41="",0,VLOOKUP(D41,D$22:D40,1,0))</f>
        <v>#N/A</v>
      </c>
      <c r="F41" s="494" t="n">
        <f aca="false">IF(AND(OR(A41="",A41="!!!!!!"),B41="",C41=""),"",IF(OR(AND(B41="",C41=""),ISERROR(C41+B41)),"!!!",($B41*$B$7+$C41*$C$7)/100))</f>
        <v>0.0025</v>
      </c>
      <c r="G41" s="495" t="str">
        <f aca="false">IF(A41="","",IF(ISERROR(VLOOKUP($A41,'liste reference'!$A$6:$Q$1174,9,0)),IF(ISERROR(VLOOKUP($A41,'liste reference'!$B$6:$Q$1174,8,0)),"    -",VLOOKUP($A41,'liste reference'!$B$6:$Q$1174,8,0)),VLOOKUP($A41,'liste reference'!$A$6:$Q$1174,9,0)))</f>
        <v>BRm</v>
      </c>
      <c r="H41" s="496" t="n">
        <f aca="false">IF(A41="","x",IF(ISERROR(VLOOKUP($A41,'liste reference'!$A$6:$Q$1174,10,0)),IF(ISERROR(VLOOKUP($A41,'liste reference'!$B$6:$Q$1174,9,0)),"x",VLOOKUP($A41,'liste reference'!$B$6:$Q$1174,9,0)),VLOOKUP($A41,'liste reference'!$A$6:$Q$1174,10,0)))</f>
        <v>5</v>
      </c>
      <c r="I41" s="281" t="n">
        <f aca="false">IF(A41="","",1)</f>
        <v>1</v>
      </c>
      <c r="J41" s="497" t="n">
        <f aca="false">IF(ISNUMBER($H41),IF(ISERROR(VLOOKUP($A41,'liste reference'!$A$6:$Q$1174,6,0)),IF(ISERROR(VLOOKUP($A41,'liste reference'!$B$6:$Q$1174,5,0)),"nu",VLOOKUP($A41,'liste reference'!$B$6:$Q$1174,5,0)),VLOOKUP($A41,'liste reference'!$A$6:$Q$1174,6,0)),"nu")</f>
        <v>12</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Rhynchostegium riparioides</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31691</v>
      </c>
      <c r="R41" s="484" t="n">
        <f aca="false">IF(ISTEXT(H41),"",(B41*$B$7/100)+(C41*$C$7/100))</f>
        <v>0.0025</v>
      </c>
      <c r="S41" s="485" t="n">
        <f aca="false">IF(OR(ISTEXT(H41),R41=0),"",IF(R41&lt;0.1,1,IF(R41&lt;1,2,IF(R41&lt;10,3,IF(R41&lt;50,4,IF(R41&gt;=50,5,""))))))</f>
        <v>1</v>
      </c>
      <c r="T41" s="485" t="n">
        <f aca="false">IF(ISERROR(S41*J41),0,S41*J41)</f>
        <v>12</v>
      </c>
      <c r="U41" s="485" t="n">
        <f aca="false">IF(ISERROR(S41*J41*K41),0,S41*J41*K41)</f>
        <v>12</v>
      </c>
      <c r="V41" s="501" t="n">
        <f aca="false">IF(ISERROR(S41*K41),0,S41*K41)</f>
        <v>1</v>
      </c>
      <c r="W41" s="502"/>
      <c r="X41" s="503"/>
      <c r="Y41" s="488" t="str">
        <f aca="false">IF(AND(ISNUMBER(F41),OR(A41="",A41="!!!!!!")),"!!!!!!",IF(A41="new.cod","NEWCOD",IF(AND((Z41=""),ISTEXT(A41),A41&lt;&gt;"!!!!!!"),A41,IF(Z41="","",INDEX('liste reference'!$A$6:$A$1174,Z41)))))</f>
        <v>RHYRIP</v>
      </c>
      <c r="Z41" s="470" t="n">
        <f aca="false">IF(ISERROR(MATCH(A41,'liste reference'!$A$6:$A$1174,0)),IF(ISERROR(MATCH(A41,'liste reference'!$B$6:$B$1174,0)),"",(MATCH(A41,'liste reference'!$B$6:$B$1174,0))),(MATCH(A41,'liste reference'!$A$6:$A$1174,0)))</f>
        <v>345</v>
      </c>
    </row>
    <row r="42" customFormat="false" ht="12.75" hidden="false" customHeight="false" outlineLevel="0" collapsed="false">
      <c r="A42" s="489" t="s">
        <v>1389</v>
      </c>
      <c r="B42" s="490" t="n">
        <v>1</v>
      </c>
      <c r="C42" s="491" t="n">
        <v>0.3</v>
      </c>
      <c r="D42" s="492" t="str">
        <f aca="false">IF(ISERROR(VLOOKUP($A42,'liste reference'!$A$6:$B$1174,2,0)),IF(ISERROR(VLOOKUP($A42,'liste reference'!$B$6:$B$1174,1,0)),"",VLOOKUP($A42,'liste reference'!$B$6:$B$1174,1,0)),VLOOKUP($A42,'liste reference'!$A$6:$B$1174,2,0))</f>
        <v>Callitriche hamulata</v>
      </c>
      <c r="E42" s="493" t="e">
        <f aca="false">IF(D42="",0,VLOOKUP(D42,D$22:D41,1,0))</f>
        <v>#N/A</v>
      </c>
      <c r="F42" s="494" t="n">
        <f aca="false">IF(AND(OR(A42="",A42="!!!!!!"),B42="",C42=""),"",IF(OR(AND(B42="",C42=""),ISERROR(C42+B42)),"!!!",($B42*$B$7+$C42*$C$7)/100))</f>
        <v>0.65</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12</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Callitriche hamulata</v>
      </c>
      <c r="M42" s="498"/>
      <c r="N42" s="498"/>
      <c r="O42" s="498"/>
      <c r="P42" s="499" t="s">
        <v>3450</v>
      </c>
      <c r="Q42" s="500" t="n">
        <f aca="false">IF(OR($A42="NEWCOD",$A42="!!!!!!"),IF(X42="","NoCod",X42),IF($A42="","",IF(ISERROR(VLOOKUP($A42,'liste reference'!$A$6:$H$1174,8,0)),IF(ISERROR(VLOOKUP($A42,'liste reference'!$B$6:$H$1174,7,0)),"",VLOOKUP($A42,'liste reference'!$B$6:$H$1174,7,0)),VLOOKUP($A42,'liste reference'!$A$6:$H$1174,8,0))))</f>
        <v>1698</v>
      </c>
      <c r="R42" s="484" t="n">
        <f aca="false">IF(ISTEXT(H42),"",(B42*$B$7/100)+(C42*$C$7/100))</f>
        <v>0.65</v>
      </c>
      <c r="S42" s="485" t="n">
        <f aca="false">IF(OR(ISTEXT(H42),R42=0),"",IF(R42&lt;0.1,1,IF(R42&lt;1,2,IF(R42&lt;10,3,IF(R42&lt;50,4,IF(R42&gt;=50,5,""))))))</f>
        <v>2</v>
      </c>
      <c r="T42" s="485" t="n">
        <f aca="false">IF(ISERROR(S42*J42),0,S42*J42)</f>
        <v>24</v>
      </c>
      <c r="U42" s="485" t="n">
        <f aca="false">IF(ISERROR(S42*J42*K42),0,S42*J42*K42)</f>
        <v>24</v>
      </c>
      <c r="V42" s="501" t="n">
        <f aca="false">IF(ISERROR(S42*K42),0,S42*K42)</f>
        <v>2</v>
      </c>
      <c r="W42" s="502"/>
      <c r="X42" s="503"/>
      <c r="Y42" s="488" t="str">
        <f aca="false">IF(AND(ISNUMBER(F42),OR(A42="",A42="!!!!!!")),"!!!!!!",IF(A42="new.cod","NEWCOD",IF(AND((Z42=""),ISTEXT(A42),A42&lt;&gt;"!!!!!!"),A42,IF(Z42="","",INDEX('liste reference'!$A$6:$A$1174,Z42)))))</f>
        <v>CALHAM</v>
      </c>
      <c r="Z42" s="470" t="n">
        <f aca="false">IF(ISERROR(MATCH(A42,'liste reference'!$A$6:$A$1174,0)),IF(ISERROR(MATCH(A42,'liste reference'!$B$6:$B$1174,0)),"",(MATCH(A42,'liste reference'!$B$6:$B$1174,0))),(MATCH(A42,'liste reference'!$A$6:$A$1174,0)))</f>
        <v>432</v>
      </c>
    </row>
    <row r="43" customFormat="false" ht="12.75" hidden="false" customHeight="false" outlineLevel="0" collapsed="false">
      <c r="A43" s="489" t="s">
        <v>1522</v>
      </c>
      <c r="B43" s="490" t="n">
        <v>0.005</v>
      </c>
      <c r="C43" s="491" t="n">
        <v>0.005</v>
      </c>
      <c r="D43" s="492" t="str">
        <f aca="false">IF(ISERROR(VLOOKUP($A43,'liste reference'!$A$6:$B$1174,2,0)),IF(ISERROR(VLOOKUP($A43,'liste reference'!$B$6:$B$1174,1,0)),"",VLOOKUP($A43,'liste reference'!$B$6:$B$1174,1,0)),VLOOKUP($A43,'liste reference'!$A$6:$B$1174,2,0))</f>
        <v>Lemna minor</v>
      </c>
      <c r="E43" s="493" t="e">
        <f aca="false">IF(D43="",0,VLOOKUP(D43,D$22:D42,1,0))</f>
        <v>#N/A</v>
      </c>
      <c r="F43" s="494" t="n">
        <f aca="false">IF(AND(OR(A43="",A43="!!!!!!"),B43="",C43=""),"",IF(OR(AND(B43="",C43=""),ISERROR(C43+B43)),"!!!",($B43*$B$7+$C43*$C$7)/100))</f>
        <v>0.005</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10</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Lemna minor</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1626</v>
      </c>
      <c r="R43" s="484" t="n">
        <f aca="false">IF(ISTEXT(H43),"",(B43*$B$7/100)+(C43*$C$7/100))</f>
        <v>0.005</v>
      </c>
      <c r="S43" s="485" t="n">
        <f aca="false">IF(OR(ISTEXT(H43),R43=0),"",IF(R43&lt;0.1,1,IF(R43&lt;1,2,IF(R43&lt;10,3,IF(R43&lt;50,4,IF(R43&gt;=50,5,""))))))</f>
        <v>1</v>
      </c>
      <c r="T43" s="485" t="n">
        <f aca="false">IF(ISERROR(S43*J43),0,S43*J43)</f>
        <v>10</v>
      </c>
      <c r="U43" s="485" t="n">
        <f aca="false">IF(ISERROR(S43*J43*K43),0,S43*J43*K43)</f>
        <v>10</v>
      </c>
      <c r="V43" s="501" t="n">
        <f aca="false">IF(ISERROR(S43*K43),0,S43*K43)</f>
        <v>1</v>
      </c>
      <c r="W43" s="502"/>
      <c r="X43" s="503"/>
      <c r="Y43" s="488" t="str">
        <f aca="false">IF(AND(ISNUMBER(F43),OR(A43="",A43="!!!!!!")),"!!!!!!",IF(A43="new.cod","NEWCOD",IF(AND((Z43=""),ISTEXT(A43),A43&lt;&gt;"!!!!!!"),A43,IF(Z43="","",INDEX('liste reference'!$A$6:$A$1174,Z43)))))</f>
        <v>LEMMIN</v>
      </c>
      <c r="Z43" s="470" t="n">
        <f aca="false">IF(ISERROR(MATCH(A43,'liste reference'!$A$6:$A$1174,0)),IF(ISERROR(MATCH(A43,'liste reference'!$B$6:$B$1174,0)),"",(MATCH(A43,'liste reference'!$B$6:$B$1174,0))),(MATCH(A43,'liste reference'!$A$6:$A$1174,0)))</f>
        <v>473</v>
      </c>
    </row>
    <row r="44" customFormat="false" ht="12.75" hidden="false" customHeight="false" outlineLevel="0" collapsed="false">
      <c r="A44" s="489" t="s">
        <v>1545</v>
      </c>
      <c r="B44" s="490" t="n">
        <v>0.6</v>
      </c>
      <c r="C44" s="491" t="n">
        <v>4</v>
      </c>
      <c r="D44" s="492" t="str">
        <f aca="false">IF(ISERROR(VLOOKUP($A44,'liste reference'!$A$6:$B$1174,2,0)),IF(ISERROR(VLOOKUP($A44,'liste reference'!$B$6:$B$1174,1,0)),"",VLOOKUP($A44,'liste reference'!$B$6:$B$1174,1,0)),VLOOKUP($A44,'liste reference'!$A$6:$B$1174,2,0))</f>
        <v>Myriophyllum alterniflorum</v>
      </c>
      <c r="E44" s="493" t="e">
        <f aca="false">IF(D44="",0,VLOOKUP(D44,D$22:D43,1,0))</f>
        <v>#N/A</v>
      </c>
      <c r="F44" s="494" t="n">
        <f aca="false">IF(AND(OR(A44="",A44="!!!!!!"),B44="",C44=""),"",IF(OR(AND(B44="",C44=""),ISERROR(C44+B44)),"!!!",($B44*$B$7+$C44*$C$7)/100))</f>
        <v>2.3</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13</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Myriophyllum alterniflorum</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1776</v>
      </c>
      <c r="R44" s="484" t="n">
        <f aca="false">IF(ISTEXT(H44),"",(B44*$B$7/100)+(C44*$C$7/100))</f>
        <v>2.3</v>
      </c>
      <c r="S44" s="485" t="n">
        <f aca="false">IF(OR(ISTEXT(H44),R44=0),"",IF(R44&lt;0.1,1,IF(R44&lt;1,2,IF(R44&lt;10,3,IF(R44&lt;50,4,IF(R44&gt;=50,5,""))))))</f>
        <v>3</v>
      </c>
      <c r="T44" s="485" t="n">
        <f aca="false">IF(ISERROR(S44*J44),0,S44*J44)</f>
        <v>39</v>
      </c>
      <c r="U44" s="485" t="n">
        <f aca="false">IF(ISERROR(S44*J44*K44),0,S44*J44*K44)</f>
        <v>78</v>
      </c>
      <c r="V44" s="501" t="n">
        <f aca="false">IF(ISERROR(S44*K44),0,S44*K44)</f>
        <v>6</v>
      </c>
      <c r="W44" s="502"/>
      <c r="X44" s="503"/>
      <c r="Y44" s="488" t="str">
        <f aca="false">IF(AND(ISNUMBER(F44),OR(A44="",A44="!!!!!!")),"!!!!!!",IF(A44="new.cod","NEWCOD",IF(AND((Z44=""),ISTEXT(A44),A44&lt;&gt;"!!!!!!"),A44,IF(Z44="","",INDEX('liste reference'!$A$6:$A$1174,Z44)))))</f>
        <v>MYRALT</v>
      </c>
      <c r="Z44" s="470" t="n">
        <f aca="false">IF(ISERROR(MATCH(A44,'liste reference'!$A$6:$A$1174,0)),IF(ISERROR(MATCH(A44,'liste reference'!$B$6:$B$1174,0)),"",(MATCH(A44,'liste reference'!$B$6:$B$1174,0))),(MATCH(A44,'liste reference'!$A$6:$A$1174,0)))</f>
        <v>481</v>
      </c>
    </row>
    <row r="45" customFormat="false" ht="12.75" hidden="false" customHeight="false" outlineLevel="0" collapsed="false">
      <c r="A45" s="489" t="s">
        <v>1873</v>
      </c>
      <c r="B45" s="490" t="n">
        <v>20</v>
      </c>
      <c r="C45" s="491" t="n">
        <v>8</v>
      </c>
      <c r="D45" s="492" t="str">
        <f aca="false">IF(ISERROR(VLOOKUP($A45,'liste reference'!$A$6:$B$1174,2,0)),IF(ISERROR(VLOOKUP($A45,'liste reference'!$B$6:$B$1174,1,0)),"",VLOOKUP($A45,'liste reference'!$B$6:$B$1174,1,0)),VLOOKUP($A45,'liste reference'!$A$6:$B$1174,2,0))</f>
        <v>Sparganium sp.</v>
      </c>
      <c r="E45" s="493" t="e">
        <f aca="false">IF(D45="",0,VLOOKUP(D45,D$22:D44,1,0))</f>
        <v>#N/A</v>
      </c>
      <c r="F45" s="494" t="n">
        <f aca="false">IF(AND(OR(A45="",A45="!!!!!!"),B45="",C45=""),"",IF(OR(AND(B45="",C45=""),ISERROR(C45+B45)),"!!!",($B45*$B$7+$C45*$C$7)/100))</f>
        <v>14</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Sparganium sp.</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1668</v>
      </c>
      <c r="R45" s="484" t="n">
        <f aca="false">IF(ISTEXT(H45),"",(B45*$B$7/100)+(C45*$C$7/100))</f>
        <v>14</v>
      </c>
      <c r="S45" s="485" t="n">
        <f aca="false">IF(OR(ISTEXT(H45),R45=0),"",IF(R45&lt;0.1,1,IF(R45&lt;1,2,IF(R45&lt;10,3,IF(R45&lt;50,4,IF(R45&gt;=50,5,""))))))</f>
        <v>4</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SPASPX</v>
      </c>
      <c r="Z45" s="470" t="n">
        <f aca="false">IF(ISERROR(MATCH(A45,'liste reference'!$A$6:$A$1174,0)),IF(ISERROR(MATCH(A45,'liste reference'!$B$6:$B$1174,0)),"",(MATCH(A45,'liste reference'!$B$6:$B$1174,0))),(MATCH(A45,'liste reference'!$A$6:$A$1174,0)))</f>
        <v>599</v>
      </c>
    </row>
    <row r="46" customFormat="false" ht="12.75" hidden="false" customHeight="false" outlineLevel="0" collapsed="false">
      <c r="A46" s="489" t="s">
        <v>1952</v>
      </c>
      <c r="B46" s="490"/>
      <c r="C46" s="491" t="n">
        <v>0.005</v>
      </c>
      <c r="D46" s="492" t="str">
        <f aca="false">IF(ISERROR(VLOOKUP($A46,'liste reference'!$A$6:$B$1174,2,0)),IF(ISERROR(VLOOKUP($A46,'liste reference'!$B$6:$B$1174,1,0)),"",VLOOKUP($A46,'liste reference'!$B$6:$B$1174,1,0)),VLOOKUP($A46,'liste reference'!$A$6:$B$1174,2,0))</f>
        <v>Carex acuta</v>
      </c>
      <c r="E46" s="493" t="e">
        <f aca="false">IF(D46="",0,VLOOKUP(D46,D$22:D45,1,0))</f>
        <v>#N/A</v>
      </c>
      <c r="F46" s="494" t="n">
        <f aca="false">IF(AND(OR(A46="",A46="!!!!!!"),B46="",C46=""),"",IF(OR(AND(B46="",C46=""),ISERROR(C46+B46)),"!!!",($B46*$B$7+$C46*$C$7)/100))</f>
        <v>0.0025</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Carex acuta</v>
      </c>
      <c r="M46" s="498"/>
      <c r="N46" s="498"/>
      <c r="O46" s="498"/>
      <c r="P46" s="499" t="s">
        <v>3450</v>
      </c>
      <c r="Q46" s="500" t="n">
        <f aca="false">IF(OR($A46="NEWCOD",$A46="!!!!!!"),IF(X46="","NoCod",X46),IF($A46="","",IF(ISERROR(VLOOKUP($A46,'liste reference'!$A$6:$H$1174,8,0)),IF(ISERROR(VLOOKUP($A46,'liste reference'!$B$6:$H$1174,7,0)),"",VLOOKUP($A46,'liste reference'!$B$6:$H$1174,7,0)),VLOOKUP($A46,'liste reference'!$A$6:$H$1174,8,0))))</f>
        <v>1467</v>
      </c>
      <c r="R46" s="484" t="n">
        <f aca="false">IF(ISTEXT(H46),"",(B46*$B$7/100)+(C46*$C$7/100))</f>
        <v>0.0025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CARACU</v>
      </c>
      <c r="Z46" s="470" t="n">
        <f aca="false">IF(ISERROR(MATCH(A46,'liste reference'!$A$6:$A$1174,0)),IF(ISERROR(MATCH(A46,'liste reference'!$B$6:$B$1174,0)),"",(MATCH(A46,'liste reference'!$B$6:$B$1174,0))),(MATCH(A46,'liste reference'!$A$6:$A$1174,0)))</f>
        <v>629</v>
      </c>
    </row>
    <row r="47" customFormat="false" ht="12.75" hidden="false" customHeight="false" outlineLevel="0" collapsed="false">
      <c r="A47" s="489" t="s">
        <v>1978</v>
      </c>
      <c r="B47" s="490" t="n">
        <v>1</v>
      </c>
      <c r="C47" s="491" t="n">
        <v>3</v>
      </c>
      <c r="D47" s="492" t="str">
        <f aca="false">IF(ISERROR(VLOOKUP($A47,'liste reference'!$A$6:$B$1174,2,0)),IF(ISERROR(VLOOKUP($A47,'liste reference'!$B$6:$B$1174,1,0)),"",VLOOKUP($A47,'liste reference'!$B$6:$B$1174,1,0)),VLOOKUP($A47,'liste reference'!$A$6:$B$1174,2,0))</f>
        <v>Carex vesicaria</v>
      </c>
      <c r="E47" s="493" t="e">
        <f aca="false">IF(D47="",0,VLOOKUP(D47,D$22:D46,1,0))</f>
        <v>#N/A</v>
      </c>
      <c r="F47" s="494" t="n">
        <f aca="false">IF(AND(OR(A47="",A47="!!!!!!"),B47="",C47=""),"",IF(OR(AND(B47="",C47=""),ISERROR(C47+B47)),"!!!",($B47*$B$7+$C47*$C$7)/100))</f>
        <v>2</v>
      </c>
      <c r="G47" s="495" t="str">
        <f aca="false">IF(A47="","",IF(ISERROR(VLOOKUP($A47,'liste reference'!$A$6:$Q$1174,9,0)),IF(ISERROR(VLOOKUP($A47,'liste reference'!$B$6:$Q$1174,8,0)),"    -",VLOOKUP($A47,'liste reference'!$B$6:$Q$1174,8,0)),VLOOKUP($A47,'liste reference'!$A$6:$Q$1174,9,0)))</f>
        <v>PHe</v>
      </c>
      <c r="H47" s="496" t="n">
        <f aca="false">IF(A47="","x",IF(ISERROR(VLOOKUP($A47,'liste reference'!$A$6:$Q$1174,10,0)),IF(ISERROR(VLOOKUP($A47,'liste reference'!$B$6:$Q$1174,9,0)),"x",VLOOKUP($A47,'liste reference'!$B$6:$Q$1174,9,0)),VLOOKUP($A47,'liste reference'!$A$6:$Q$1174,10,0)))</f>
        <v>8</v>
      </c>
      <c r="I47" s="281" t="n">
        <f aca="false">IF(A47="","",1)</f>
        <v>1</v>
      </c>
      <c r="J47" s="497" t="n">
        <f aca="false">IF(ISNUMBER($H47),IF(ISERROR(VLOOKUP($A47,'liste reference'!$A$6:$Q$1174,6,0)),IF(ISERROR(VLOOKUP($A47,'liste reference'!$B$6:$Q$1174,5,0)),"nu",VLOOKUP($A47,'liste reference'!$B$6:$Q$1174,5,0)),VLOOKUP($A47,'liste reference'!$A$6:$Q$1174,6,0)),"nu")</f>
        <v>12</v>
      </c>
      <c r="K47" s="497" t="n">
        <f aca="false">IF(ISNUMBER($H47),IF(ISERROR(VLOOKUP($A47,'liste reference'!$A$6:$Q$1174,7,0)),IF(ISERROR(VLOOKUP($A47,'liste reference'!$B$6:$Q$1174,6,0)),"nu",VLOOKUP($A47,'liste reference'!$B$6:$Q$1174,6,0)),VLOOKUP($A47,'liste reference'!$A$6:$Q$1174,7,0)),"nu")</f>
        <v>2</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Carex vesicaria</v>
      </c>
      <c r="M47" s="498"/>
      <c r="N47" s="498"/>
      <c r="O47" s="498"/>
      <c r="P47" s="499" t="s">
        <v>3450</v>
      </c>
      <c r="Q47" s="500" t="n">
        <f aca="false">IF(OR($A47="NEWCOD",$A47="!!!!!!"),IF(X47="","NoCod",X47),IF($A47="","",IF(ISERROR(VLOOKUP($A47,'liste reference'!$A$6:$H$1174,8,0)),IF(ISERROR(VLOOKUP($A47,'liste reference'!$B$6:$H$1174,7,0)),"",VLOOKUP($A47,'liste reference'!$B$6:$H$1174,7,0)),VLOOKUP($A47,'liste reference'!$A$6:$H$1174,8,0))))</f>
        <v>1491</v>
      </c>
      <c r="R47" s="484" t="n">
        <f aca="false">IF(ISTEXT(H47),"",(B47*$B$7/100)+(C47*$C$7/100))</f>
        <v>2</v>
      </c>
      <c r="S47" s="485" t="n">
        <f aca="false">IF(OR(ISTEXT(H47),R47=0),"",IF(R47&lt;0.1,1,IF(R47&lt;1,2,IF(R47&lt;10,3,IF(R47&lt;50,4,IF(R47&gt;=50,5,""))))))</f>
        <v>3</v>
      </c>
      <c r="T47" s="485" t="n">
        <f aca="false">IF(ISERROR(S47*J47),0,S47*J47)</f>
        <v>36</v>
      </c>
      <c r="U47" s="485" t="n">
        <f aca="false">IF(ISERROR(S47*J47*K47),0,S47*J47*K47)</f>
        <v>72</v>
      </c>
      <c r="V47" s="501" t="n">
        <f aca="false">IF(ISERROR(S47*K47),0,S47*K47)</f>
        <v>6</v>
      </c>
      <c r="W47" s="502"/>
      <c r="X47" s="503"/>
      <c r="Y47" s="488" t="str">
        <f aca="false">IF(AND(ISNUMBER(F47),OR(A47="",A47="!!!!!!")),"!!!!!!",IF(A47="new.cod","NEWCOD",IF(AND((Z47=""),ISTEXT(A47),A47&lt;&gt;"!!!!!!"),A47,IF(Z47="","",INDEX('liste reference'!$A$6:$A$1174,Z47)))))</f>
        <v>CARVES</v>
      </c>
      <c r="Z47" s="470" t="n">
        <f aca="false">IF(ISERROR(MATCH(A47,'liste reference'!$A$6:$A$1174,0)),IF(ISERROR(MATCH(A47,'liste reference'!$B$6:$B$1174,0)),"",(MATCH(A47,'liste reference'!$B$6:$B$1174,0))),(MATCH(A47,'liste reference'!$A$6:$A$1174,0)))</f>
        <v>639</v>
      </c>
    </row>
    <row r="48" customFormat="false" ht="12.75" hidden="false" customHeight="false" outlineLevel="0" collapsed="false">
      <c r="A48" s="489" t="s">
        <v>2084</v>
      </c>
      <c r="B48" s="490"/>
      <c r="C48" s="491" t="n">
        <v>1.5</v>
      </c>
      <c r="D48" s="492" t="str">
        <f aca="false">IF(ISERROR(VLOOKUP($A48,'liste reference'!$A$6:$B$1174,2,0)),IF(ISERROR(VLOOKUP($A48,'liste reference'!$B$6:$B$1174,1,0)),"",VLOOKUP($A48,'liste reference'!$B$6:$B$1174,1,0)),VLOOKUP($A48,'liste reference'!$A$6:$B$1174,2,0))</f>
        <v>Glyceria fluitans</v>
      </c>
      <c r="E48" s="493" t="e">
        <f aca="false">IF(D48="",0,VLOOKUP(D48,D$22:D47,1,0))</f>
        <v>#N/A</v>
      </c>
      <c r="F48" s="494" t="n">
        <f aca="false">IF(AND(OR(A48="",A48="!!!!!!"),B48="",C48=""),"",IF(OR(AND(B48="",C48=""),ISERROR(C48+B48)),"!!!",($B48*$B$7+$C48*$C$7)/100))</f>
        <v>0.75</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n">
        <f aca="false">IF(ISNUMBER($H48),IF(ISERROR(VLOOKUP($A48,'liste reference'!$A$6:$Q$1174,6,0)),IF(ISERROR(VLOOKUP($A48,'liste reference'!$B$6:$Q$1174,5,0)),"nu",VLOOKUP($A48,'liste reference'!$B$6:$Q$1174,5,0)),VLOOKUP($A48,'liste reference'!$A$6:$Q$1174,6,0)),"nu")</f>
        <v>14</v>
      </c>
      <c r="K48" s="497" t="n">
        <f aca="false">IF(ISNUMBER($H48),IF(ISERROR(VLOOKUP($A48,'liste reference'!$A$6:$Q$1174,7,0)),IF(ISERROR(VLOOKUP($A48,'liste reference'!$B$6:$Q$1174,6,0)),"nu",VLOOKUP($A48,'liste reference'!$B$6:$Q$1174,6,0)),VLOOKUP($A48,'liste reference'!$A$6:$Q$1174,7,0)),"nu")</f>
        <v>2</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Glyceria fluitans</v>
      </c>
      <c r="M48" s="498"/>
      <c r="N48" s="498"/>
      <c r="O48" s="498"/>
      <c r="P48" s="499" t="s">
        <v>3449</v>
      </c>
      <c r="Q48" s="500" t="n">
        <f aca="false">IF(OR($A48="NEWCOD",$A48="!!!!!!"),IF(X48="","NoCod",X48),IF($A48="","",IF(ISERROR(VLOOKUP($A48,'liste reference'!$A$6:$H$1174,8,0)),IF(ISERROR(VLOOKUP($A48,'liste reference'!$B$6:$H$1174,7,0)),"",VLOOKUP($A48,'liste reference'!$B$6:$H$1174,7,0)),VLOOKUP($A48,'liste reference'!$A$6:$H$1174,8,0))))</f>
        <v>1564</v>
      </c>
      <c r="R48" s="484" t="n">
        <f aca="false">IF(ISTEXT(H48),"",(B48*$B$7/100)+(C48*$C$7/100))</f>
        <v>0.75</v>
      </c>
      <c r="S48" s="485" t="n">
        <f aca="false">IF(OR(ISTEXT(H48),R48=0),"",IF(R48&lt;0.1,1,IF(R48&lt;1,2,IF(R48&lt;10,3,IF(R48&lt;50,4,IF(R48&gt;=50,5,""))))))</f>
        <v>2</v>
      </c>
      <c r="T48" s="485" t="n">
        <f aca="false">IF(ISERROR(S48*J48),0,S48*J48)</f>
        <v>28</v>
      </c>
      <c r="U48" s="485" t="n">
        <f aca="false">IF(ISERROR(S48*J48*K48),0,S48*J48*K48)</f>
        <v>56</v>
      </c>
      <c r="V48" s="501" t="n">
        <f aca="false">IF(ISERROR(S48*K48),0,S48*K48)</f>
        <v>4</v>
      </c>
      <c r="W48" s="502"/>
      <c r="X48" s="503"/>
      <c r="Y48" s="488" t="str">
        <f aca="false">IF(AND(ISNUMBER(F48),OR(A48="",A48="!!!!!!")),"!!!!!!",IF(A48="new.cod","NEWCOD",IF(AND((Z48=""),ISTEXT(A48),A48&lt;&gt;"!!!!!!"),A48,IF(Z48="","",INDEX('liste reference'!$A$6:$A$1174,Z48)))))</f>
        <v>GLYFLU</v>
      </c>
      <c r="Z48" s="470" t="n">
        <f aca="false">IF(ISERROR(MATCH(A48,'liste reference'!$A$6:$A$1174,0)),IF(ISERROR(MATCH(A48,'liste reference'!$B$6:$B$1174,0)),"",(MATCH(A48,'liste reference'!$B$6:$B$1174,0))),(MATCH(A48,'liste reference'!$A$6:$A$1174,0)))</f>
        <v>676</v>
      </c>
    </row>
    <row r="49" customFormat="false" ht="12.75" hidden="false" customHeight="false" outlineLevel="0" collapsed="false">
      <c r="A49" s="489" t="s">
        <v>2170</v>
      </c>
      <c r="B49" s="490" t="n">
        <v>4</v>
      </c>
      <c r="C49" s="491" t="n">
        <v>3</v>
      </c>
      <c r="D49" s="492" t="str">
        <f aca="false">IF(ISERROR(VLOOKUP($A49,'liste reference'!$A$6:$B$1174,2,0)),IF(ISERROR(VLOOKUP($A49,'liste reference'!$B$6:$B$1174,1,0)),"",VLOOKUP($A49,'liste reference'!$B$6:$B$1174,1,0)),VLOOKUP($A49,'liste reference'!$A$6:$B$1174,2,0))</f>
        <v>Phalaris arundinacea</v>
      </c>
      <c r="E49" s="493" t="e">
        <f aca="false">IF(D49="",0,VLOOKUP(D49,D$22:D48,1,0))</f>
        <v>#N/A</v>
      </c>
      <c r="F49" s="494" t="n">
        <f aca="false">IF(AND(OR(A49="",A49="!!!!!!"),B49="",C49=""),"",IF(OR(AND(B49="",C49=""),ISERROR(C49+B49)),"!!!",($B49*$B$7+$C49*$C$7)/100))</f>
        <v>3.5</v>
      </c>
      <c r="G49" s="495" t="str">
        <f aca="false">IF(A49="","",IF(ISERROR(VLOOKUP($A49,'liste reference'!$A$6:$Q$1174,9,0)),IF(ISERROR(VLOOKUP($A49,'liste reference'!$B$6:$Q$1174,8,0)),"    -",VLOOKUP($A49,'liste reference'!$B$6:$Q$1174,8,0)),VLOOKUP($A49,'liste reference'!$A$6:$Q$1174,9,0)))</f>
        <v>PHe</v>
      </c>
      <c r="H49" s="496" t="n">
        <f aca="false">IF(A49="","x",IF(ISERROR(VLOOKUP($A49,'liste reference'!$A$6:$Q$1174,10,0)),IF(ISERROR(VLOOKUP($A49,'liste reference'!$B$6:$Q$1174,9,0)),"x",VLOOKUP($A49,'liste reference'!$B$6:$Q$1174,9,0)),VLOOKUP($A49,'liste reference'!$A$6:$Q$1174,10,0)))</f>
        <v>8</v>
      </c>
      <c r="I49" s="281" t="n">
        <f aca="false">IF(A49="","",1)</f>
        <v>1</v>
      </c>
      <c r="J49" s="497" t="n">
        <f aca="false">IF(ISNUMBER($H49),IF(ISERROR(VLOOKUP($A49,'liste reference'!$A$6:$Q$1174,6,0)),IF(ISERROR(VLOOKUP($A49,'liste reference'!$B$6:$Q$1174,5,0)),"nu",VLOOKUP($A49,'liste reference'!$B$6:$Q$1174,5,0)),VLOOKUP($A49,'liste reference'!$A$6:$Q$1174,6,0)),"nu")</f>
        <v>10</v>
      </c>
      <c r="K49" s="497" t="n">
        <f aca="false">IF(ISNUMBER($H49),IF(ISERROR(VLOOKUP($A49,'liste reference'!$A$6:$Q$1174,7,0)),IF(ISERROR(VLOOKUP($A49,'liste reference'!$B$6:$Q$1174,6,0)),"nu",VLOOKUP($A49,'liste reference'!$B$6:$Q$1174,6,0)),VLOOKUP($A49,'liste reference'!$A$6:$Q$1174,7,0)),"nu")</f>
        <v>1</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Phalaris arundinacea</v>
      </c>
      <c r="M49" s="498"/>
      <c r="N49" s="498"/>
      <c r="O49" s="498"/>
      <c r="P49" s="499" t="s">
        <v>3449</v>
      </c>
      <c r="Q49" s="500" t="n">
        <f aca="false">IF(OR($A49="NEWCOD",$A49="!!!!!!"),IF(X49="","NoCod",X49),IF($A49="","",IF(ISERROR(VLOOKUP($A49,'liste reference'!$A$6:$H$1174,8,0)),IF(ISERROR(VLOOKUP($A49,'liste reference'!$B$6:$H$1174,7,0)),"",VLOOKUP($A49,'liste reference'!$B$6:$H$1174,7,0)),VLOOKUP($A49,'liste reference'!$A$6:$H$1174,8,0))))</f>
        <v>1577</v>
      </c>
      <c r="R49" s="484" t="n">
        <f aca="false">IF(ISTEXT(H49),"",(B49*$B$7/100)+(C49*$C$7/100))</f>
        <v>3.5</v>
      </c>
      <c r="S49" s="485" t="n">
        <f aca="false">IF(OR(ISTEXT(H49),R49=0),"",IF(R49&lt;0.1,1,IF(R49&lt;1,2,IF(R49&lt;10,3,IF(R49&lt;50,4,IF(R49&gt;=50,5,""))))))</f>
        <v>3</v>
      </c>
      <c r="T49" s="485" t="n">
        <f aca="false">IF(ISERROR(S49*J49),0,S49*J49)</f>
        <v>30</v>
      </c>
      <c r="U49" s="485" t="n">
        <f aca="false">IF(ISERROR(S49*J49*K49),0,S49*J49*K49)</f>
        <v>30</v>
      </c>
      <c r="V49" s="501" t="n">
        <f aca="false">IF(ISERROR(S49*K49),0,S49*K49)</f>
        <v>3</v>
      </c>
      <c r="W49" s="502"/>
      <c r="X49" s="503"/>
      <c r="Y49" s="488" t="str">
        <f aca="false">IF(AND(ISNUMBER(F49),OR(A49="",A49="!!!!!!")),"!!!!!!",IF(A49="new.cod","NEWCOD",IF(AND((Z49=""),ISTEXT(A49),A49&lt;&gt;"!!!!!!"),A49,IF(Z49="","",INDEX('liste reference'!$A$6:$A$1174,Z49)))))</f>
        <v>PHAARU</v>
      </c>
      <c r="Z49" s="470" t="n">
        <f aca="false">IF(ISERROR(MATCH(A49,'liste reference'!$A$6:$A$1174,0)),IF(ISERROR(MATCH(A49,'liste reference'!$B$6:$B$1174,0)),"",(MATCH(A49,'liste reference'!$B$6:$B$1174,0))),(MATCH(A49,'liste reference'!$A$6:$A$1174,0)))</f>
        <v>707</v>
      </c>
    </row>
    <row r="50" customFormat="false" ht="12.75" hidden="false" customHeight="false" outlineLevel="0" collapsed="false">
      <c r="A50" s="489" t="s">
        <v>2240</v>
      </c>
      <c r="B50" s="490"/>
      <c r="C50" s="491" t="n">
        <v>0.005</v>
      </c>
      <c r="D50" s="492" t="str">
        <f aca="false">IF(ISERROR(VLOOKUP($A50,'liste reference'!$A$6:$B$1174,2,0)),IF(ISERROR(VLOOKUP($A50,'liste reference'!$B$6:$B$1174,1,0)),"",VLOOKUP($A50,'liste reference'!$B$6:$B$1174,1,0)),VLOOKUP($A50,'liste reference'!$A$6:$B$1174,2,0))</f>
        <v>Sparganium erectum</v>
      </c>
      <c r="E50" s="493" t="e">
        <f aca="false">IF(D50="",0,VLOOKUP(D50,D$22:D49,1,0))</f>
        <v>#N/A</v>
      </c>
      <c r="F50" s="494" t="n">
        <f aca="false">IF(AND(OR(A50="",A50="!!!!!!"),B50="",C50=""),"",IF(OR(AND(B50="",C50=""),ISERROR(C50+B50)),"!!!",($B50*$B$7+$C50*$C$7)/100))</f>
        <v>0.0025</v>
      </c>
      <c r="G50" s="495" t="str">
        <f aca="false">IF(A50="","",IF(ISERROR(VLOOKUP($A50,'liste reference'!$A$6:$Q$1174,9,0)),IF(ISERROR(VLOOKUP($A50,'liste reference'!$B$6:$Q$1174,8,0)),"    -",VLOOKUP($A50,'liste reference'!$B$6:$Q$1174,8,0)),VLOOKUP($A50,'liste reference'!$A$6:$Q$1174,9,0)))</f>
        <v>PHe</v>
      </c>
      <c r="H50" s="496" t="n">
        <f aca="false">IF(A50="","x",IF(ISERROR(VLOOKUP($A50,'liste reference'!$A$6:$Q$1174,10,0)),IF(ISERROR(VLOOKUP($A50,'liste reference'!$B$6:$Q$1174,9,0)),"x",VLOOKUP($A50,'liste reference'!$B$6:$Q$1174,9,0)),VLOOKUP($A50,'liste reference'!$A$6:$Q$1174,10,0)))</f>
        <v>8</v>
      </c>
      <c r="I50" s="281" t="n">
        <f aca="false">IF(A50="","",1)</f>
        <v>1</v>
      </c>
      <c r="J50" s="497" t="n">
        <f aca="false">IF(ISNUMBER($H50),IF(ISERROR(VLOOKUP($A50,'liste reference'!$A$6:$Q$1174,6,0)),IF(ISERROR(VLOOKUP($A50,'liste reference'!$B$6:$Q$1174,5,0)),"nu",VLOOKUP($A50,'liste reference'!$B$6:$Q$1174,5,0)),VLOOKUP($A50,'liste reference'!$A$6:$Q$1174,6,0)),"nu")</f>
        <v>10</v>
      </c>
      <c r="K50" s="497" t="n">
        <f aca="false">IF(ISNUMBER($H50),IF(ISERROR(VLOOKUP($A50,'liste reference'!$A$6:$Q$1174,7,0)),IF(ISERROR(VLOOKUP($A50,'liste reference'!$B$6:$Q$1174,6,0)),"nu",VLOOKUP($A50,'liste reference'!$B$6:$Q$1174,6,0)),VLOOKUP($A50,'liste reference'!$A$6:$Q$1174,7,0)),"nu")</f>
        <v>1</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Sparganium erectum</v>
      </c>
      <c r="M50" s="498"/>
      <c r="N50" s="498"/>
      <c r="O50" s="498"/>
      <c r="P50" s="499" t="s">
        <v>3449</v>
      </c>
      <c r="Q50" s="500" t="n">
        <f aca="false">IF(OR($A50="NEWCOD",$A50="!!!!!!"),IF(X50="","NoCod",X50),IF($A50="","",IF(ISERROR(VLOOKUP($A50,'liste reference'!$A$6:$H$1174,8,0)),IF(ISERROR(VLOOKUP($A50,'liste reference'!$B$6:$H$1174,7,0)),"",VLOOKUP($A50,'liste reference'!$B$6:$H$1174,7,0)),VLOOKUP($A50,'liste reference'!$A$6:$H$1174,8,0))))</f>
        <v>1671</v>
      </c>
      <c r="R50" s="484" t="n">
        <f aca="false">IF(ISTEXT(H50),"",(B50*$B$7/100)+(C50*$C$7/100))</f>
        <v>0.0025</v>
      </c>
      <c r="S50" s="485" t="n">
        <f aca="false">IF(OR(ISTEXT(H50),R50=0),"",IF(R50&lt;0.1,1,IF(R50&lt;1,2,IF(R50&lt;10,3,IF(R50&lt;50,4,IF(R50&gt;=50,5,""))))))</f>
        <v>1</v>
      </c>
      <c r="T50" s="485" t="n">
        <f aca="false">IF(ISERROR(S50*J50),0,S50*J50)</f>
        <v>10</v>
      </c>
      <c r="U50" s="485" t="n">
        <f aca="false">IF(ISERROR(S50*J50*K50),0,S50*J50*K50)</f>
        <v>10</v>
      </c>
      <c r="V50" s="501" t="n">
        <f aca="false">IF(ISERROR(S50*K50),0,S50*K50)</f>
        <v>1</v>
      </c>
      <c r="W50" s="502"/>
      <c r="X50" s="503"/>
      <c r="Y50" s="488" t="str">
        <f aca="false">IF(AND(ISNUMBER(F50),OR(A50="",A50="!!!!!!")),"!!!!!!",IF(A50="new.cod","NEWCOD",IF(AND((Z50=""),ISTEXT(A50),A50&lt;&gt;"!!!!!!"),A50,IF(Z50="","",INDEX('liste reference'!$A$6:$A$1174,Z50)))))</f>
        <v>SPAERE</v>
      </c>
      <c r="Z50" s="470" t="n">
        <f aca="false">IF(ISERROR(MATCH(A50,'liste reference'!$A$6:$A$1174,0)),IF(ISERROR(MATCH(A50,'liste reference'!$B$6:$B$1174,0)),"",(MATCH(A50,'liste reference'!$B$6:$B$1174,0))),(MATCH(A50,'liste reference'!$A$6:$A$1174,0)))</f>
        <v>732</v>
      </c>
    </row>
    <row r="51" customFormat="false" ht="12.75" hidden="false" customHeight="false" outlineLevel="0" collapsed="false">
      <c r="A51" s="489" t="s">
        <v>2262</v>
      </c>
      <c r="B51" s="490" t="n">
        <v>0.005</v>
      </c>
      <c r="C51" s="491"/>
      <c r="D51" s="492" t="str">
        <f aca="false">IF(ISERROR(VLOOKUP($A51,'liste reference'!$A$6:$B$1174,2,0)),IF(ISERROR(VLOOKUP($A51,'liste reference'!$B$6:$B$1174,1,0)),"",VLOOKUP($A51,'liste reference'!$B$6:$B$1174,1,0)),VLOOKUP($A51,'liste reference'!$A$6:$B$1174,2,0))</f>
        <v>Veronica beccabunga</v>
      </c>
      <c r="E51" s="493" t="e">
        <f aca="false">IF(D51="",0,VLOOKUP(D51,D$22:D50,1,0))</f>
        <v>#N/A</v>
      </c>
      <c r="F51" s="494" t="n">
        <f aca="false">IF(AND(OR(A51="",A51="!!!!!!"),B51="",C51=""),"",IF(OR(AND(B51="",C51=""),ISERROR(C51+B51)),"!!!",($B51*$B$7+$C51*$C$7)/100))</f>
        <v>0.0025</v>
      </c>
      <c r="G51" s="495" t="str">
        <f aca="false">IF(A51="","",IF(ISERROR(VLOOKUP($A51,'liste reference'!$A$6:$Q$1174,9,0)),IF(ISERROR(VLOOKUP($A51,'liste reference'!$B$6:$Q$1174,8,0)),"    -",VLOOKUP($A51,'liste reference'!$B$6:$Q$1174,8,0)),VLOOKUP($A51,'liste reference'!$A$6:$Q$1174,9,0)))</f>
        <v>PHe</v>
      </c>
      <c r="H51" s="496" t="n">
        <f aca="false">IF(A51="","x",IF(ISERROR(VLOOKUP($A51,'liste reference'!$A$6:$Q$1174,10,0)),IF(ISERROR(VLOOKUP($A51,'liste reference'!$B$6:$Q$1174,9,0)),"x",VLOOKUP($A51,'liste reference'!$B$6:$Q$1174,9,0)),VLOOKUP($A51,'liste reference'!$A$6:$Q$1174,10,0)))</f>
        <v>8</v>
      </c>
      <c r="I51" s="281" t="n">
        <f aca="false">IF(A51="","",1)</f>
        <v>1</v>
      </c>
      <c r="J51" s="497" t="n">
        <f aca="false">IF(ISNUMBER($H51),IF(ISERROR(VLOOKUP($A51,'liste reference'!$A$6:$Q$1174,6,0)),IF(ISERROR(VLOOKUP($A51,'liste reference'!$B$6:$Q$1174,5,0)),"nu",VLOOKUP($A51,'liste reference'!$B$6:$Q$1174,5,0)),VLOOKUP($A51,'liste reference'!$A$6:$Q$1174,6,0)),"nu")</f>
        <v>10</v>
      </c>
      <c r="K51" s="497" t="n">
        <f aca="false">IF(ISNUMBER($H51),IF(ISERROR(VLOOKUP($A51,'liste reference'!$A$6:$Q$1174,7,0)),IF(ISERROR(VLOOKUP($A51,'liste reference'!$B$6:$Q$1174,6,0)),"nu",VLOOKUP($A51,'liste reference'!$B$6:$Q$1174,6,0)),VLOOKUP($A51,'liste reference'!$A$6:$Q$1174,7,0)),"nu")</f>
        <v>1</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Veronica beccabunga</v>
      </c>
      <c r="M51" s="498"/>
      <c r="N51" s="498"/>
      <c r="O51" s="498"/>
      <c r="P51" s="499" t="s">
        <v>3449</v>
      </c>
      <c r="Q51" s="500" t="n">
        <f aca="false">IF(OR($A51="NEWCOD",$A51="!!!!!!"),IF(X51="","NoCod",X51),IF($A51="","",IF(ISERROR(VLOOKUP($A51,'liste reference'!$A$6:$H$1174,8,0)),IF(ISERROR(VLOOKUP($A51,'liste reference'!$B$6:$H$1174,7,0)),"",VLOOKUP($A51,'liste reference'!$B$6:$H$1174,7,0)),VLOOKUP($A51,'liste reference'!$A$6:$H$1174,8,0))))</f>
        <v>1957</v>
      </c>
      <c r="R51" s="484" t="n">
        <f aca="false">IF(ISTEXT(H51),"",(B51*$B$7/100)+(C51*$C$7/100))</f>
        <v>0.0025</v>
      </c>
      <c r="S51" s="485" t="n">
        <f aca="false">IF(OR(ISTEXT(H51),R51=0),"",IF(R51&lt;0.1,1,IF(R51&lt;1,2,IF(R51&lt;10,3,IF(R51&lt;50,4,IF(R51&gt;=50,5,""))))))</f>
        <v>1</v>
      </c>
      <c r="T51" s="485" t="n">
        <f aca="false">IF(ISERROR(S51*J51),0,S51*J51)</f>
        <v>10</v>
      </c>
      <c r="U51" s="485" t="n">
        <f aca="false">IF(ISERROR(S51*J51*K51),0,S51*J51*K51)</f>
        <v>10</v>
      </c>
      <c r="V51" s="501" t="n">
        <f aca="false">IF(ISERROR(S51*K51),0,S51*K51)</f>
        <v>1</v>
      </c>
      <c r="W51" s="502"/>
      <c r="X51" s="503"/>
      <c r="Y51" s="488" t="str">
        <f aca="false">IF(AND(ISNUMBER(F51),OR(A51="",A51="!!!!!!")),"!!!!!!",IF(A51="new.cod","NEWCOD",IF(AND((Z51=""),ISTEXT(A51),A51&lt;&gt;"!!!!!!"),A51,IF(Z51="","",INDEX('liste reference'!$A$6:$A$1174,Z51)))))</f>
        <v>VERBEC</v>
      </c>
      <c r="Z51" s="470" t="n">
        <f aca="false">IF(ISERROR(MATCH(A51,'liste reference'!$A$6:$A$1174,0)),IF(ISERROR(MATCH(A51,'liste reference'!$B$6:$B$1174,0)),"",(MATCH(A51,'liste reference'!$B$6:$B$1174,0))),(MATCH(A51,'liste reference'!$A$6:$A$1174,0)))</f>
        <v>741</v>
      </c>
    </row>
    <row r="52" customFormat="false" ht="12.75" hidden="false" customHeight="false" outlineLevel="0" collapsed="false">
      <c r="A52" s="489" t="s">
        <v>2618</v>
      </c>
      <c r="B52" s="490" t="n">
        <v>0.005</v>
      </c>
      <c r="C52" s="491"/>
      <c r="D52" s="492" t="str">
        <f aca="false">IF(ISERROR(VLOOKUP($A52,'liste reference'!$A$6:$B$1174,2,0)),IF(ISERROR(VLOOKUP($A52,'liste reference'!$B$6:$B$1174,1,0)),"",VLOOKUP($A52,'liste reference'!$B$6:$B$1174,1,0)),VLOOKUP($A52,'liste reference'!$A$6:$B$1174,2,0))</f>
        <v>Juncus effusus</v>
      </c>
      <c r="E52" s="493" t="e">
        <f aca="false">IF(D52="",0,VLOOKUP(D52,D$22:D51,1,0))</f>
        <v>#N/A</v>
      </c>
      <c r="F52" s="494" t="n">
        <f aca="false">IF(AND(OR(A52="",A52="!!!!!!"),B52="",C52=""),"",IF(OR(AND(B52="",C52=""),ISERROR(C52+B52)),"!!!",($B52*$B$7+$C52*$C$7)/100))</f>
        <v>0.0025</v>
      </c>
      <c r="G52" s="495" t="str">
        <f aca="false">IF(A52="","",IF(ISERROR(VLOOKUP($A52,'liste reference'!$A$6:$Q$1174,9,0)),IF(ISERROR(VLOOKUP($A52,'liste reference'!$B$6:$Q$1174,8,0)),"    -",VLOOKUP($A52,'liste reference'!$B$6:$Q$1174,8,0)),VLOOKUP($A52,'liste reference'!$A$6:$Q$1174,9,0)))</f>
        <v>PHg</v>
      </c>
      <c r="H52" s="496" t="n">
        <f aca="false">IF(A52="","x",IF(ISERROR(VLOOKUP($A52,'liste reference'!$A$6:$Q$1174,10,0)),IF(ISERROR(VLOOKUP($A52,'liste reference'!$B$6:$Q$1174,9,0)),"x",VLOOKUP($A52,'liste reference'!$B$6:$Q$1174,9,0)),VLOOKUP($A52,'liste reference'!$A$6:$Q$1174,10,0)))</f>
        <v>9</v>
      </c>
      <c r="I52" s="281" t="n">
        <f aca="false">IF(A52="","",1)</f>
        <v>1</v>
      </c>
      <c r="J52" s="497" t="str">
        <f aca="false">IF(ISNUMBER($H52),IF(ISERROR(VLOOKUP($A52,'liste reference'!$A$6:$Q$1174,6,0)),IF(ISERROR(VLOOKUP($A52,'liste reference'!$B$6:$Q$1174,5,0)),"nu",VLOOKUP($A52,'liste reference'!$B$6:$Q$1174,5,0)),VLOOKUP($A52,'liste reference'!$A$6:$Q$1174,6,0)),"nu")</f>
        <v>nc</v>
      </c>
      <c r="K52" s="497" t="str">
        <f aca="false">IF(ISNUMBER($H52),IF(ISERROR(VLOOKUP($A52,'liste reference'!$A$6:$Q$1174,7,0)),IF(ISERROR(VLOOKUP($A52,'liste reference'!$B$6:$Q$1174,6,0)),"nu",VLOOKUP($A52,'liste reference'!$B$6:$Q$1174,6,0)),VLOOKUP($A52,'liste reference'!$A$6:$Q$1174,7,0)),"nu")</f>
        <v>nc</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Juncus effusus</v>
      </c>
      <c r="M52" s="498"/>
      <c r="N52" s="498"/>
      <c r="O52" s="498"/>
      <c r="P52" s="499" t="s">
        <v>3449</v>
      </c>
      <c r="Q52" s="500" t="n">
        <f aca="false">IF(OR($A52="NEWCOD",$A52="!!!!!!"),IF(X52="","NoCod",X52),IF($A52="","",IF(ISERROR(VLOOKUP($A52,'liste reference'!$A$6:$H$1174,8,0)),IF(ISERROR(VLOOKUP($A52,'liste reference'!$B$6:$H$1174,7,0)),"",VLOOKUP($A52,'liste reference'!$B$6:$H$1174,7,0)),VLOOKUP($A52,'liste reference'!$A$6:$H$1174,8,0))))</f>
        <v>1613</v>
      </c>
      <c r="R52" s="484" t="n">
        <f aca="false">IF(ISTEXT(H52),"",(B52*$B$7/100)+(C52*$C$7/100))</f>
        <v>0.0025</v>
      </c>
      <c r="S52" s="485" t="n">
        <f aca="false">IF(OR(ISTEXT(H52),R52=0),"",IF(R52&lt;0.1,1,IF(R52&lt;1,2,IF(R52&lt;10,3,IF(R52&lt;50,4,IF(R52&gt;=50,5,""))))))</f>
        <v>1</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JUNEFF</v>
      </c>
      <c r="Z52" s="470" t="n">
        <f aca="false">IF(ISERROR(MATCH(A52,'liste reference'!$A$6:$A$1174,0)),IF(ISERROR(MATCH(A52,'liste reference'!$B$6:$B$1174,0)),"",(MATCH(A52,'liste reference'!$B$6:$B$1174,0))),(MATCH(A52,'liste reference'!$A$6:$A$1174,0)))</f>
        <v>876</v>
      </c>
    </row>
    <row r="53" customFormat="false" ht="12.75" hidden="false" customHeight="false" outlineLevel="0" collapsed="false">
      <c r="A53" s="489" t="s">
        <v>3252</v>
      </c>
      <c r="B53" s="490" t="n">
        <v>0.05</v>
      </c>
      <c r="C53" s="491" t="n">
        <v>0.1</v>
      </c>
      <c r="D53" s="492" t="str">
        <f aca="false">IF(ISERROR(VLOOKUP($A53,'liste reference'!$A$6:$B$1174,2,0)),IF(ISERROR(VLOOKUP($A53,'liste reference'!$B$6:$B$1174,1,0)),"",VLOOKUP($A53,'liste reference'!$B$6:$B$1174,1,0)),VLOOKUP($A53,'liste reference'!$A$6:$B$1174,2,0))</f>
        <v>Ranunculus repens</v>
      </c>
      <c r="E53" s="493" t="e">
        <f aca="false">IF(D53="",0,VLOOKUP(D53,D$22:D52,1,0))</f>
        <v>#N/A</v>
      </c>
      <c r="F53" s="494" t="n">
        <f aca="false">IF(AND(OR(A53="",A53="!!!!!!"),B53="",C53=""),"",IF(OR(AND(B53="",C53=""),ISERROR(C53+B53)),"!!!",($B53*$B$7+$C53*$C$7)/100))</f>
        <v>0.075</v>
      </c>
      <c r="G53" s="495" t="str">
        <f aca="false">IF(A53="","",IF(ISERROR(VLOOKUP($A53,'liste reference'!$A$6:$Q$1174,9,0)),IF(ISERROR(VLOOKUP($A53,'liste reference'!$B$6:$Q$1174,8,0)),"    -",VLOOKUP($A53,'liste reference'!$B$6:$Q$1174,8,0)),VLOOKUP($A53,'liste reference'!$A$6:$Q$1174,9,0)))</f>
        <v>PHx</v>
      </c>
      <c r="H53" s="496" t="n">
        <f aca="false">IF(A53="","x",IF(ISERROR(VLOOKUP($A53,'liste reference'!$A$6:$Q$1174,10,0)),IF(ISERROR(VLOOKUP($A53,'liste reference'!$B$6:$Q$1174,9,0)),"x",VLOOKUP($A53,'liste reference'!$B$6:$Q$1174,9,0)),VLOOKUP($A53,'liste reference'!$A$6:$Q$1174,10,0)))</f>
        <v>10</v>
      </c>
      <c r="I53" s="281" t="n">
        <f aca="false">IF(A53="","",1)</f>
        <v>1</v>
      </c>
      <c r="J53" s="497" t="str">
        <f aca="false">IF(ISNUMBER($H53),IF(ISERROR(VLOOKUP($A53,'liste reference'!$A$6:$Q$1174,6,0)),IF(ISERROR(VLOOKUP($A53,'liste reference'!$B$6:$Q$1174,5,0)),"nu",VLOOKUP($A53,'liste reference'!$B$6:$Q$1174,5,0)),VLOOKUP($A53,'liste reference'!$A$6:$Q$1174,6,0)),"nu")</f>
        <v>nc</v>
      </c>
      <c r="K53" s="497" t="str">
        <f aca="false">IF(ISNUMBER($H53),IF(ISERROR(VLOOKUP($A53,'liste reference'!$A$6:$Q$1174,7,0)),IF(ISERROR(VLOOKUP($A53,'liste reference'!$B$6:$Q$1174,6,0)),"nu",VLOOKUP($A53,'liste reference'!$B$6:$Q$1174,6,0)),VLOOKUP($A53,'liste reference'!$A$6:$Q$1174,7,0)),"nu")</f>
        <v>nc</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Ranunculus repens</v>
      </c>
      <c r="M53" s="498"/>
      <c r="N53" s="498"/>
      <c r="O53" s="498"/>
      <c r="P53" s="499" t="s">
        <v>3450</v>
      </c>
      <c r="Q53" s="500" t="n">
        <f aca="false">IF(OR($A53="NEWCOD",$A53="!!!!!!"),IF(X53="","NoCod",X53),IF($A53="","",IF(ISERROR(VLOOKUP($A53,'liste reference'!$A$6:$H$1174,8,0)),IF(ISERROR(VLOOKUP($A53,'liste reference'!$B$6:$H$1174,7,0)),"",VLOOKUP($A53,'liste reference'!$B$6:$H$1174,7,0)),VLOOKUP($A53,'liste reference'!$A$6:$H$1174,8,0))))</f>
        <v>1910</v>
      </c>
      <c r="R53" s="484" t="n">
        <f aca="false">IF(ISTEXT(H53),"",(B53*$B$7/100)+(C53*$C$7/100))</f>
        <v>0.075</v>
      </c>
      <c r="S53" s="485" t="n">
        <f aca="false">IF(OR(ISTEXT(H53),R53=0),"",IF(R53&lt;0.1,1,IF(R53&lt;1,2,IF(R53&lt;10,3,IF(R53&lt;50,4,IF(R53&gt;=50,5,""))))))</f>
        <v>1</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RANREP</v>
      </c>
      <c r="Z53" s="470" t="n">
        <f aca="false">IF(ISERROR(MATCH(A53,'liste reference'!$A$6:$A$1174,0)),IF(ISERROR(MATCH(A53,'liste reference'!$B$6:$B$1174,0)),"",(MATCH(A53,'liste reference'!$B$6:$B$1174,0))),(MATCH(A53,'liste reference'!$A$6:$A$1174,0)))</f>
        <v>1128</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25.012</v>
      </c>
      <c r="G83" s="424"/>
      <c r="H83" s="424"/>
      <c r="I83" s="424"/>
      <c r="J83" s="424"/>
      <c r="K83" s="424"/>
      <c r="L83" s="424"/>
      <c r="M83" s="485"/>
      <c r="N83" s="485"/>
      <c r="O83" s="485"/>
      <c r="P83" s="485"/>
      <c r="Q83" s="485"/>
      <c r="R83" s="485"/>
      <c r="S83" s="485"/>
      <c r="T83" s="485"/>
      <c r="U83" s="485"/>
      <c r="V83" s="485" t="n">
        <f aca="false">SUM(V23:V82)</f>
        <v>64</v>
      </c>
      <c r="W83" s="485"/>
      <c r="X83" s="523"/>
      <c r="Y83" s="523"/>
      <c r="Z83" s="524"/>
    </row>
    <row r="84" customFormat="false" ht="12.75" hidden="true" customHeight="false" outlineLevel="0" collapsed="false">
      <c r="A84" s="518" t="str">
        <f aca="false">A3</f>
        <v>LA COLAGNE</v>
      </c>
      <c r="B84" s="453" t="str">
        <f aca="false">C3</f>
        <v>LA COLAGNE EN AMONT DE MARVEJOLS (PONT DE LA D30)</v>
      </c>
      <c r="C84" s="525" t="str">
        <f aca="false">A4</f>
        <v>(Date)</v>
      </c>
      <c r="D84" s="526" t="n">
        <f aca="false">IF(OR(ISERROR(SUM($U$23:$U$82)/SUM($V$23:$V$82)),F7&lt;&gt;100),-1,SUM($U$23:$U$82)/SUM($V$23:$V$82))</f>
        <v>12.21875</v>
      </c>
      <c r="E84" s="527" t="n">
        <f aca="false">O13</f>
        <v>31</v>
      </c>
      <c r="F84" s="453" t="n">
        <f aca="false">O14</f>
        <v>24</v>
      </c>
      <c r="G84" s="453" t="n">
        <f aca="false">O15</f>
        <v>10</v>
      </c>
      <c r="H84" s="453" t="n">
        <f aca="false">O16</f>
        <v>12</v>
      </c>
      <c r="I84" s="453" t="n">
        <f aca="false">O17</f>
        <v>2</v>
      </c>
      <c r="J84" s="528" t="n">
        <f aca="false">O8</f>
        <v>11.375</v>
      </c>
      <c r="K84" s="529" t="n">
        <f aca="false">O9</f>
        <v>3.06611181574754</v>
      </c>
      <c r="L84" s="530" t="n">
        <f aca="false">O10</f>
        <v>4</v>
      </c>
      <c r="M84" s="530" t="n">
        <f aca="false">O11</f>
        <v>16</v>
      </c>
      <c r="N84" s="529" t="n">
        <f aca="false">P8</f>
        <v>1.66666666666667</v>
      </c>
      <c r="O84" s="529" t="n">
        <f aca="false">P9</f>
        <v>0.623609564462324</v>
      </c>
      <c r="P84" s="530" t="n">
        <f aca="false">P10</f>
        <v>1</v>
      </c>
      <c r="Q84" s="530" t="n">
        <f aca="false">P11</f>
        <v>3</v>
      </c>
      <c r="R84" s="530" t="n">
        <f aca="false">F21</f>
        <v>25.012</v>
      </c>
      <c r="S84" s="530" t="n">
        <f aca="false">L11</f>
        <v>0</v>
      </c>
      <c r="T84" s="530" t="n">
        <f aca="false">L12</f>
        <v>9</v>
      </c>
      <c r="U84" s="530" t="n">
        <f aca="false">L13</f>
        <v>9</v>
      </c>
      <c r="V84" s="531" t="n">
        <f aca="false">L15</f>
        <v>12</v>
      </c>
      <c r="W84" s="532" t="n">
        <f aca="false">L15</f>
        <v>12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48</v>
      </c>
      <c r="U87" s="281"/>
      <c r="V87" s="281"/>
    </row>
    <row r="88" customFormat="false" ht="12.75" hidden="true" customHeight="false" outlineLevel="0" collapsed="false">
      <c r="C88" s="534"/>
      <c r="D88" s="534"/>
      <c r="E88" s="534"/>
      <c r="R88" s="281" t="s">
        <v>3453</v>
      </c>
      <c r="S88" s="281"/>
      <c r="T88" s="536" t="n">
        <f aca="false">VLOOKUP($T$91,($A$23:$U$82),21,0)</f>
        <v>144</v>
      </c>
      <c r="U88" s="281"/>
      <c r="V88" s="281" t="n">
        <f aca="false">COUNTIF(V23:V82,T89)</f>
        <v>1</v>
      </c>
    </row>
    <row r="89" customFormat="false" ht="12.75" hidden="true" customHeight="false" outlineLevel="0" collapsed="false">
      <c r="C89" s="534"/>
      <c r="D89" s="534"/>
      <c r="E89" s="534"/>
      <c r="R89" s="281" t="s">
        <v>3454</v>
      </c>
      <c r="S89" s="281"/>
      <c r="T89" s="536" t="n">
        <f aca="false">MAX($V$23:$V$82)</f>
        <v>9</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11.6</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FONSQU</v>
      </c>
      <c r="U91" s="281" t="n">
        <f aca="false">IF(ISERROR(MATCH($T$93,'liste reference'!$A$6:$A$1174,0)),MATCH($T$93,'liste reference'!$B$6:$B$1174,0),(MATCH($T$93,'liste reference'!$A$6:$A$1174,0)))</f>
        <v>277</v>
      </c>
      <c r="V91" s="538"/>
    </row>
    <row r="92" customFormat="false" ht="12.75" hidden="true" customHeight="false" outlineLevel="0" collapsed="false">
      <c r="C92" s="534"/>
      <c r="D92" s="534"/>
      <c r="E92" s="534"/>
      <c r="R92" s="281" t="s">
        <v>3457</v>
      </c>
      <c r="S92" s="281"/>
      <c r="T92" s="281" t="n">
        <f aca="false">MATCH(T89,$V$23:$V$82,0)</f>
        <v>16</v>
      </c>
      <c r="U92" s="281"/>
    </row>
    <row r="93" customFormat="false" ht="12.75" hidden="true" customHeight="false" outlineLevel="0" collapsed="false">
      <c r="C93" s="534"/>
      <c r="D93" s="534"/>
      <c r="E93" s="534"/>
      <c r="R93" s="485" t="s">
        <v>3458</v>
      </c>
      <c r="S93" s="281"/>
      <c r="T93" s="485" t="str">
        <f aca="false">INDEX($A$23:$A$82,$T$92)</f>
        <v>FONSQU</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2017-03-30T13:56:21Z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