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8760" sheetId="6" state="visible" r:id="rId8"/>
    <sheet name="jgjg" sheetId="7" state="hidden" r:id="rId9"/>
    <sheet name="liste codes réf" sheetId="8" state="hidden" r:id="rId10"/>
  </sheets>
  <definedNames>
    <definedName function="false" hidden="false" localSheetId="5" name="_xlnm.Print_Area" vbProcedure="false">'05118760'!$A$1:$Q$82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'05118760'!$A$1:$Q$82</definedName>
    <definedName function="false" hidden="false" localSheetId="5" name="_xlnm__FilterDatabase" vbProcedure="false">'05118760'!$A$1:$C$1415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<sst xmlns="http://schemas.openxmlformats.org/spreadsheetml/2006/main" count="8832" uniqueCount="3497">
  <si>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</si>
  <si>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</si>
  <si>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</si>
  <si>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</si>
  <si>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</si>
  <si>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</si>
  <si>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</si>
  <si>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</si>
  <si>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</si>
  <si>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</si>
  <si>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</si>
  <si>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</si>
  <si>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</si>
  <si>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</si>
  <si>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</si>
  <si>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</si>
  <si>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</si>
  <si>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</si>
  <si>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</si>
  <si>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</si>
  <si>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</si>
  <si>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</si>
  <si>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</si>
  <si>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</si>
  <si>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</si>
  <si>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</si>
  <si>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</si>
  <si>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</si>
  <si>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</si>
  <si>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</si>
  <si>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</si>
  <si>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</si>
  <si>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</si>
  <si>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</si>
  <si>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</si>
  <si>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</si>
  <si>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</si>
  <si>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</si>
  <si>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</si>
  <si>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</si>
  <si>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</si>
  <si>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</si>
  <si>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</si>
  <si>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</si>
  <si>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</si>
  <si>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</si>
  <si>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</si>
  <si>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</si>
  <si>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</si>
  <si>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</si>
  <si>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</si>
  <si>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</si>
  <si>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</si>
  <si>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</si>
  <si>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</si>
  <si>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</si>
  <si>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</si>
  <si>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</si>
  <si>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</si>
  <si>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</si>
  <si>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</si>
  <si>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</si>
  <si>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</si>
  <si>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</si>
  <si>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</si>
  <si>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</si>
  <si>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</si>
  <si>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</si>
  <si>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</si>
  <si>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</si>
  <si>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</si>
  <si>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</si>
  <si>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</si>
  <si>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</si>
  <si>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</si>
  <si>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</si>
  <si>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</si>
  <si>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</si>
  <si>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</si>
  <si>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</si>
  <si>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</si>
  <si>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</si>
  <si>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</si>
  <si>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</si>
  <si>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</si>
  <si>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</si>
  <si>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</si>
  <si>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</si>
  <si>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</si>
  <si>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</si>
  <si>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</si>
  <si>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</si>
  <si>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</si>
  <si>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</si>
  <si>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</si>
  <si>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</si>
  <si>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</si>
  <si>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</si>
  <si>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</si>
  <si>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</si>
  <si>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</si>
  <si>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</si>
  <si>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</si>
  <si>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</si>
  <si>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</si>
  <si>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</si>
  <si>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</si>
  <si>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</si>
  <si>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</si>
  <si>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</si>
  <si>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</si>
  <si>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</si>
  <si>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</si>
  <si>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</si>
  <si>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</si>
  <si>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</si>
  <si>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</si>
  <si>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</si>
  <si>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</si>
  <si>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</si>
  <si>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</si>
  <si>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</si>
  <si>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</si>
  <si>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</si>
  <si>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</si>
  <si>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</si>
  <si>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</si>
  <si>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</si>
  <si>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</si>
  <si>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</si>
  <si>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</si>
  <si>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</si>
  <si>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</si>
  <si>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</si>
  <si>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</si>
  <si>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</si>
  <si>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</si>
  <si>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</si>
  <si>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</si>
  <si>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</si>
  <si>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</si>
  <si>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</si>
  <si>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</si>
  <si>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</si>
  <si>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</si>
  <si>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</si>
  <si>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</si>
  <si>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</si>
  <si>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</si>
  <si>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</si>
  <si>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</si>
  <si>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</si>
  <si>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</si>
  <si>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</si>
  <si>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</si>
  <si>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</si>
  <si>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</si>
  <si>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</si>
  <si>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</si>
  <si>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</si>
  <si>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</si>
  <si>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</si>
  <si>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</si>
  <si>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</si>
  <si>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</si>
  <si>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</si>
  <si>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</si>
  <si>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</si>
  <si>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</si>
  <si>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</si>
  <si>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</si>
  <si>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</si>
  <si>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</si>
  <si>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</si>
  <si>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</si>
  <si>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</si>
  <si>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</si>
  <si>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</si>
  <si>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</si>
  <si>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</si>
  <si>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</si>
  <si>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</si>
  <si>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</si>
  <si>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</si>
  <si>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</si>
  <si>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</si>
  <si>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</si>
  <si>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</si>
  <si>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</si>
  <si>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</si>
  <si>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</si>
  <si>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</si>
  <si>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</si>
  <si>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</si>
  <si>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</si>
  <si>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</si>
  <si>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</si>
  <si>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</si>
  <si>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</si>
  <si>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</si>
  <si>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</si>
  <si>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</si>
  <si>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</si>
  <si>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</si>
  <si>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</si>
  <si>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</si>
  <si>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</si>
  <si>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</si>
  <si>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</si>
  <si>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</si>
  <si>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</si>
  <si>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</si>
  <si>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</si>
  <si>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</si>
  <si>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</si>
  <si>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</si>
  <si>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</si>
  <si>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</si>
  <si>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</si>
  <si>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</si>
  <si>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</si>
  <si>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</si>
  <si>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</si>
  <si>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</si>
  <si>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</si>
  <si>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</si>
  <si>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</si>
  <si>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</si>
  <si>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</si>
  <si>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</si>
  <si>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</si>
  <si>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</si>
  <si>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</si>
  <si>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</si>
  <si>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</si>
  <si>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</si>
  <si>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</si>
  <si>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</si>
  <si>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</si>
  <si>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</si>
  <si>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</si>
  <si>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</si>
  <si>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</si>
  <si>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</si>
  <si>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</si>
  <si>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</si>
  <si>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</si>
  <si>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</si>
  <si>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</si>
  <si>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</si>
  <si>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</si>
  <si>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</si>
  <si>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</si>
  <si>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</si>
  <si>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</si>
  <si>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</si>
  <si>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</si>
  <si>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</si>
  <si>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</si>
  <si>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</si>
  <si>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</si>
  <si>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</si>
  <si>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</si>
  <si>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</si>
  <si>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</si>
  <si>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</si>
  <si>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</si>
  <si>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</si>
  <si>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</si>
  <si>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</si>
  <si>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</si>
  <si>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</si>
  <si>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</si>
  <si>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</si>
  <si>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</si>
  <si>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</si>
  <si>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</si>
  <si>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</si>
  <si>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</si>
  <si>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</si>
  <si>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</si>
  <si>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</si>
  <si>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</si>
  <si>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</si>
  <si>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</si>
  <si>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</si>
  <si>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</si>
  <si>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</si>
  <si>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</si>
  <si>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</si>
  <si>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</si>
  <si>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</si>
  <si>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</si>
  <si>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</si>
  <si>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</si>
  <si>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</si>
  <si>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</si>
  <si>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</si>
  <si>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</si>
  <si>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</si>
  <si>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</si>
  <si>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</si>
  <si>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</si>
  <si>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</si>
  <si>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</si>
  <si>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</si>
  <si>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</si>
  <si>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</si>
  <si>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</si>
  <si>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</si>
  <si>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</si>
  <si>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</si>
  <si>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</si>
  <si>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</si>
  <si>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</si>
  <si>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</si>
  <si>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</si>
  <si>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</si>
  <si>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</si>
  <si>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</si>
  <si>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</si>
  <si>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</si>
  <si>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</si>
  <si>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</si>
  <si>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</si>
  <si>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</si>
  <si>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</si>
  <si>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</si>
  <si>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</si>
  <si>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</si>
  <si>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</si>
  <si>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</si>
  <si>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</si>
  <si>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</si>
  <si>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</si>
  <si>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</si>
  <si>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</si>
  <si>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</si>
  <si>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</si>
  <si>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</si>
  <si>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</si>
  <si>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</si>
  <si>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</si>
  <si>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</si>
  <si>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</si>
  <si>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</si>
  <si>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</si>
  <si>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</si>
  <si>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</si>
  <si>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</si>
  <si>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</si>
  <si>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</si>
  <si>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</si>
  <si>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</si>
  <si>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</si>
  <si>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</si>
  <si>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</si>
  <si>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</si>
  <si>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</si>
  <si>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</si>
  <si>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</si>
  <si>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</si>
  <si>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</si>
  <si>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</si>
  <si>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</si>
  <si>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</si>
  <si>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</si>
  <si>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</si>
  <si>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</si>
  <si>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</si>
  <si>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</si>
  <si>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</si>
  <si>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</si>
  <si>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</si>
  <si>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</si>
  <si>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</si>
  <si>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</si>
  <si>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</si>
  <si>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</si>
  <si>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</si>
  <si>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</si>
  <si>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</si>
  <si>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</si>
  <si>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</si>
  <si>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</si>
  <si>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</si>
  <si>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</si>
  <si>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</si>
  <si>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</si>
  <si>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</si>
  <si>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</si>
  <si>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</si>
  <si>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</si>
  <si>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</si>
  <si>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</si>
  <si>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</si>
  <si>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</si>
  <si>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</si>
  <si>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</si>
  <si>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</si>
  <si>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</si>
  <si>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</si>
  <si>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</si>
  <si>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</si>
  <si>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</si>
  <si>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</si>
  <si>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</si>
  <si>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</si>
  <si>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</si>
  <si>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</si>
  <si>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</si>
  <si>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</si>
  <si>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</si>
  <si>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</si>
  <si>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</si>
  <si>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</si>
  <si>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</si>
  <si>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</si>
  <si>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</si>
  <si>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</si>
  <si>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</si>
  <si>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</si>
  <si>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</si>
  <si>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</si>
  <si>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</si>
  <si>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</si>
  <si>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</si>
  <si>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</si>
  <si>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</si>
  <si>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</si>
  <si>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</si>
  <si>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</si>
  <si>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</si>
  <si>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</si>
  <si>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</si>
  <si>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</si>
  <si>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</si>
  <si>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</si>
  <si>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</si>
  <si>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</si>
  <si>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</si>
  <si>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</si>
  <si>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</si>
  <si>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</si>
  <si>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</si>
  <si>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</si>
  <si>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</si>
  <si>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</si>
  <si>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</si>
  <si>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</si>
  <si>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</si>
  <si>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</si>
  <si>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</si>
  <si>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</si>
  <si>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</si>
  <si>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</si>
  <si>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</si>
  <si>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</si>
  <si>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</si>
  <si>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</si>
  <si>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</si>
  <si>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</si>
  <si>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</si>
  <si>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</si>
  <si>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</si>
  <si>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</si>
  <si>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</si>
  <si>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</si>
  <si>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</si>
  <si>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</si>
  <si>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</si>
  <si>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</si>
  <si>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</si>
  <si>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</si>
  <si>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</si>
  <si>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</si>
  <si>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</si>
  <si>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</si>
  <si>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</si>
  <si>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</si>
  <si>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</si>
  <si>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</si>
  <si>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</si>
  <si>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</si>
  <si>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</si>
  <si>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</si>
  <si>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</si>
  <si>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</si>
  <si>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</si>
  <si>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</si>
  <si>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</si>
  <si>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</si>
  <si>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</si>
  <si>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</si>
  <si>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</si>
  <si>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</si>
  <si>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</si>
  <si>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</si>
  <si>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</si>
  <si>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</si>
  <si>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</si>
  <si>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</si>
  <si>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</si>
  <si>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</si>
  <si>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</si>
  <si>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</si>
  <si>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</si>
  <si>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</si>
  <si>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</si>
  <si>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</si>
  <si>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</si>
  <si>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</si>
  <si>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</si>
  <si>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</si>
  <si>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</si>
  <si>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</si>
  <si>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</si>
  <si>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</si>
  <si>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</si>
  <si>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</si>
  <si>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</si>
  <si>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</si>
  <si>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</si>
  <si>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</si>
  <si>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</si>
  <si>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</si>
  <si>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</si>
  <si>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</si>
  <si>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</si>
  <si>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</si>
  <si>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</si>
  <si>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</si>
  <si>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</si>
  <si>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</si>
  <si>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</si>
  <si>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</si>
  <si>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</si>
  <si>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</si>
  <si>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</si>
  <si>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</si>
  <si>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</si>
  <si>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</si>
  <si>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</si>
  <si>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</si>
  <si>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</si>
  <si>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</si>
  <si>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</si>
  <si>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</si>
  <si>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</si>
  <si>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</si>
  <si>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</si>
  <si>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</si>
  <si>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</si>
  <si>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</si>
  <si>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</si>
  <si>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</si>
  <si>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</si>
  <si>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</si>
  <si>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</si>
  <si>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</si>
  <si>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</si>
  <si>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</si>
  <si>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</si>
  <si>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</si>
  <si>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</si>
  <si>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</si>
  <si>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</si>
  <si>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</si>
  <si>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</si>
  <si>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</si>
  <si>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</si>
  <si>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</si>
  <si>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</si>
  <si>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</si>
  <si>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</si>
  <si>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</si>
  <si>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</si>
  <si>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</si>
  <si>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</si>
  <si>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</si>
  <si>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</si>
  <si>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</si>
  <si>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</si>
  <si>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</si>
  <si>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</si>
  <si>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</si>
  <si>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</si>
  <si>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</si>
  <si>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</si>
  <si>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</si>
  <si>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</si>
  <si>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</si>
  <si>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</si>
  <si>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</si>
  <si>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</si>
  <si>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</si>
  <si>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</si>
  <si>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</si>
  <si>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</si>
  <si>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</si>
  <si>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</si>
  <si>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</si>
  <si>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</si>
  <si>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</si>
  <si>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</si>
  <si>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</si>
  <si>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</si>
  <si>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</si>
  <si>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</si>
  <si>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</si>
  <si>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</si>
  <si>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</si>
  <si>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</si>
  <si>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</si>
  <si>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</si>
  <si>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</si>
  <si>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</si>
  <si>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</si>
  <si>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</si>
  <si>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</si>
  <si>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</si>
  <si>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</si>
  <si>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</si>
  <si>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</si>
  <si>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</si>
  <si>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</si>
  <si>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</si>
  <si>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</si>
  <si>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</si>
  <si>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</si>
  <si>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</si>
  <si>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</si>
  <si>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</si>
  <si>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</si>
  <si>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</si>
  <si>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</si>
  <si>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</si>
  <si>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</si>
  <si>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</si>
  <si>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</si>
  <si>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</si>
  <si>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</si>
  <si>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</si>
  <si>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</si>
  <si>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</si>
  <si>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</si>
  <si>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</si>
  <si>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</si>
  <si>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</si>
  <si>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</si>
  <si>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</si>
  <si>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</si>
  <si>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</si>
  <si>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</si>
  <si>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</si>
  <si>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</si>
  <si>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</si>
  <si>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</si>
  <si>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</si>
  <si>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</si>
  <si>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</si>
  <si>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</si>
  <si>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</si>
  <si>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</si>
  <si>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</si>
  <si>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</si>
  <si>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</si>
  <si>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</si>
  <si>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</si>
  <si>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</si>
  <si>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</si>
  <si>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</si>
  <si>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</si>
  <si>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</si>
  <si>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</si>
  <si>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</si>
  <si>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</si>
  <si>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</si>
  <si>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</si>
  <si>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</si>
  <si>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</si>
  <si>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</si>
  <si>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</si>
  <si>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</si>
  <si>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</si>
  <si>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</si>
  <si>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</si>
  <si>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</si>
  <si>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</si>
  <si>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</si>
  <si>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</si>
  <si>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</si>
  <si>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</si>
  <si>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</si>
  <si>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</si>
  <si>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</si>
  <si>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</si>
  <si>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</si>
  <si>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</si>
  <si>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</si>
  <si>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</si>
  <si>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</si>
  <si>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</si>
  <si>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</si>
  <si>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</si>
  <si>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</si>
  <si>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</si>
  <si>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</si>
  <si>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</si>
  <si>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</si>
  <si>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</si>
  <si>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</si>
  <si>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</si>
  <si>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</si>
  <si>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</si>
  <si>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</si>
  <si>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</si>
  <si>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</si>
  <si>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</si>
  <si>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</si>
  <si>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</si>
  <si>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</si>
  <si>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</si>
  <si>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</si>
  <si>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</si>
  <si>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</si>
  <si>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</si>
  <si>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</si>
  <si>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</si>
  <si>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</si>
  <si>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</si>
  <si>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</si>
  <si>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</si>
  <si>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</si>
  <si>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</si>
  <si>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</si>
  <si>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</si>
  <si>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</si>
  <si>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</si>
  <si>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</si>
  <si>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</si>
  <si>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</si>
  <si>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</si>
  <si>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</si>
  <si>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</si>
  <si>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</si>
  <si>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</si>
  <si>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</si>
  <si>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</si>
  <si>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</si>
  <si>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</si>
  <si>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</si>
  <si>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</si>
  <si>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</si>
  <si>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</si>
  <si>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</si>
  <si>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</si>
  <si>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</si>
  <si>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</si>
  <si>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</si>
  <si>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</si>
  <si>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</si>
  <si>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</si>
  <si>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</si>
  <si>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</si>
  <si>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</si>
  <si>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</si>
  <si>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</si>
  <si>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</si>
  <si>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</si>
  <si>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</si>
  <si>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</si>
  <si>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</si>
  <si>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</si>
  <si>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</si>
  <si>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</si>
  <si>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</si>
  <si>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</si>
  <si>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</si>
  <si>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</si>
  <si>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</si>
  <si>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</si>
  <si>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</si>
  <si>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</si>
  <si>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</si>
  <si>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</si>
  <si>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</si>
  <si>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</si>
  <si>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</si>
  <si>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</si>
  <si>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</si>
  <si>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</si>
  <si>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</si>
  <si>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</si>
  <si>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</si>
  <si>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</si>
  <si>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</si>
  <si>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</si>
  <si>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</si>
  <si>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</si>
  <si>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</si>
  <si>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</si>
  <si>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</si>
  <si>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</si>
  <si>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</si>
  <si>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</si>
  <si>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</si>
  <si>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</si>
  <si>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</si>
  <si>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</si>
  <si>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</si>
  <si>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</si>
  <si>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</si>
  <si>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</si>
  <si>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</si>
  <si>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</si>
  <si>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</si>
  <si>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</si>
  <si>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</si>
  <si>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</si>
  <si>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</si>
  <si>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</si>
  <si>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</si>
  <si>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</si>
  <si>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</si>
  <si>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</si>
  <si>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</si>
  <si>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</si>
  <si>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</si>
  <si>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</si>
  <si>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</si>
  <si>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</si>
  <si>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</si>
  <si>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</si>
  <si>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</si>
  <si>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</si>
  <si>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</si>
  <si>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</si>
  <si>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</si>
  <si>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</si>
  <si>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</si>
  <si>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</si>
  <si>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</si>
  <si>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</si>
  <si>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</si>
  <si>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</si>
  <si>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</si>
  <si>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</si>
  <si>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</si>
  <si>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</si>
  <si>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</si>
  <si>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</si>
  <si>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</si>
  <si>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</si>
  <si>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</si>
  <si>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</si>
  <si>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</si>
  <si>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</si>
  <si>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</si>
  <si>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</si>
  <si>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</si>
  <si>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</si>
  <si>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</si>
  <si>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</si>
  <si>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</si>
  <si>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</si>
  <si>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</si>
  <si>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</si>
  <si>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</si>
  <si>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</si>
  <si>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</si>
  <si>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</si>
  <si>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</si>
  <si>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</si>
  <si>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</si>
  <si>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</si>
  <si>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</si>
  <si>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</si>
  <si>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</si>
  <si>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</si>
  <si>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</si>
  <si>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</si>
  <si>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</si>
  <si>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</si>
  <si>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</si>
  <si>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</si>
  <si>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</si>
  <si>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</si>
  <si>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</si>
  <si>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</si>
  <si>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</si>
  <si>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</si>
  <si>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</si>
  <si>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</si>
  <si>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</si>
  <si>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</si>
  <si>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</si>
  <si>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</si>
  <si>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</si>
  <si>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</si>
  <si>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</si>
  <si>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</si>
  <si>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</si>
  <si>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</si>
  <si>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</si>
  <si>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</si>
  <si>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</si>
  <si>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</si>
  <si>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</si>
  <si>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</si>
  <si>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</si>
  <si>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</si>
  <si>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</si>
  <si>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</si>
  <si>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</si>
  <si>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</si>
  <si>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</si>
  <si>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</si>
  <si>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</si>
  <si>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</si>
  <si>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</si>
  <si>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</si>
  <si>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</si>
  <si>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</si>
  <si>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</si>
  <si>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</si>
  <si>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</si>
  <si>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</si>
  <si>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</si>
  <si>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</si>
  <si>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</si>
  <si>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</si>
  <si>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</si>
  <si>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</si>
  <si>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</si>
  <si>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</si>
  <si>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</si>
  <si>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</si>
  <si>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</si>
  <si>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</si>
  <si>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</si>
  <si>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</si>
  <si>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</si>
  <si>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</si>
  <si>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</si>
  <si>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</si>
  <si>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</si>
  <si>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</si>
  <si>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</si>
  <si>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</si>
  <si>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</si>
  <si>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</si>
  <si>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</si>
  <si>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</si>
  <si>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</si>
  <si>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</si>
  <si>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</si>
  <si>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</si>
  <si>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</si>
  <si>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</si>
  <si>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</si>
  <si>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</si>
  <si>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</si>
  <si>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</si>
  <si>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</si>
  <si>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</si>
  <si>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</si>
  <si>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</si>
  <si>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</si>
  <si>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</si>
  <si>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</si>
  <si>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</si>
  <si>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</si>
  <si>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</si>
  <si>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</si>
  <si>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</si>
  <si>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</si>
  <si>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</si>
  <si>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</si>
  <si>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</si>
  <si>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</si>
  <si>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</si>
  <si>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</si>
  <si>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</si>
  <si>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</si>
  <si>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</si>
  <si>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</si>
  <si>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</si>
  <si>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</si>
  <si>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</si>
  <si>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</si>
  <si>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</si>
  <si>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</si>
  <si>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</si>
  <si>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</si>
  <si>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</si>
  <si>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</si>
  <si>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</si>
  <si>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</si>
  <si>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</si>
  <si>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</si>
  <si>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</si>
  <si>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</si>
  <si>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</si>
  <si>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</si>
  <si>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</si>
  <si>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</si>
  <si>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</si>
  <si>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</si>
  <si>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</si>
  <si>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</si>
  <si>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</si>
  <si>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</si>
  <si>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</si>
  <si>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</si>
  <si>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</si>
  <si>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</si>
  <si>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</si>
  <si>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</si>
  <si>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</si>
  <si>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</si>
  <si>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</si>
  <si>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</si>
  <si>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</si>
  <si>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</si>
  <si>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</si>
  <si>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</si>
  <si>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</si>
  <si>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</si>
  <si>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</si>
  <si>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</si>
  <si>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</si>
  <si>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</si>
  <si>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</si>
  <si>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</si>
  <si>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</si>
  <si>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</si>
  <si>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</si>
  <si>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</si>
  <si>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</si>
  <si>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</si>
  <si>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</si>
  <si>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</si>
  <si>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</si>
  <si>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</si>
  <si>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</si>
  <si>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</si>
  <si>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</si>
  <si>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</si>
  <si>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</si>
  <si>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</si>
  <si>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</si>
  <si>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</si>
  <si>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</si>
  <si>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</si>
  <si>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</si>
  <si>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</si>
  <si>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</si>
  <si>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</si>
  <si>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</si>
  <si>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</si>
  <si>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</si>
  <si>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</si>
  <si>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</si>
  <si>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</si>
  <si>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</si>
  <si>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</si>
  <si>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</si>
  <si>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</si>
  <si>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</si>
  <si>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</si>
  <si>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</si>
  <si>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</si>
  <si>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</si>
  <si>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</si>
  <si>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</si>
  <si>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</si>
  <si>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</si>
  <si>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</si>
  <si>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</si>
  <si>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</si>
  <si>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</si>
  <si>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</si>
  <si>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</si>
  <si>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</si>
  <si>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</si>
  <si>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</si>
  <si>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</si>
  <si>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</si>
  <si>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</si>
  <si>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</si>
  <si>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</si>
  <si>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</si>
  <si>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</si>
  <si>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</si>
  <si>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</si>
  <si>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</si>
  <si>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</si>
  <si>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</si>
  <si>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</si>
  <si>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</si>
  <si>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</si>
  <si>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</si>
  <si>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</si>
  <si>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</si>
  <si>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</si>
  <si>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</si>
  <si>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</si>
  <si>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</si>
  <si>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</si>
  <si>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</si>
  <si>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</si>
  <si>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</si>
  <si>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</si>
  <si>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</si>
  <si>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</si>
  <si>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</si>
  <si>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</si>
  <si>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</si>
  <si>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</si>
  <si>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</si>
  <si>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</si>
  <si>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</si>
  <si>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</si>
  <si>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</si>
  <si>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</si>
  <si>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</si>
  <si>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</si>
  <si>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</si>
  <si>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</si>
  <si>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</si>
  <si>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</si>
  <si>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</si>
  <si>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</si>
  <si>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</si>
  <si>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</si>
  <si>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</si>
  <si>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</si>
  <si>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</si>
  <si>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</si>
  <si>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</si>
  <si>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</si>
  <si>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</si>
  <si>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</si>
  <si>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</si>
  <si>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</si>
  <si>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</si>
  <si>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</si>
  <si>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</si>
  <si>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</si>
  <si>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</si>
  <si>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</si>
  <si>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</si>
  <si>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</si>
  <si>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</si>
  <si>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</si>
  <si>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</si>
  <si>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</si>
  <si>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</si>
  <si>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</si>
  <si>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</si>
  <si>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</si>
  <si>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</si>
  <si>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</si>
  <si>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</si>
  <si>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</si>
  <si>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</si>
  <si>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</si>
  <si>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</si>
  <si>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</si>
  <si>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</si>
  <si>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</si>
  <si>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</si>
  <si>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</si>
  <si>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</si>
  <si>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</si>
  <si>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</si>
  <si>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</si>
  <si>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</si>
  <si>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</si>
  <si>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</si>
  <si>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</si>
  <si>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</si>
  <si>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</si>
  <si>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</si>
  <si>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</si>
  <si>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</si>
  <si>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</si>
  <si>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</si>
  <si>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</si>
  <si>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</si>
  <si>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</si>
  <si>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</si>
  <si>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</si>
  <si>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</si>
  <si>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</si>
  <si>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</si>
  <si>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</si>
  <si>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</si>
  <si>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</si>
  <si>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</si>
  <si>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</si>
  <si>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</si>
  <si>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</si>
  <si>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</si>
  <si>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</si>
  <si>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</si>
  <si>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</si>
  <si>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</si>
  <si>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</si>
  <si>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</si>
  <si>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</si>
  <si>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</si>
  <si>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</si>
  <si>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</si>
  <si>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</si>
  <si>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</si>
  <si>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</si>
  <si>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</si>
  <si>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</si>
  <si>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</si>
  <si>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</si>
  <si>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</si>
  <si>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</si>
  <si>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</si>
  <si>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</si>
  <si>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</si>
  <si>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</si>
  <si>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</si>
  <si>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</si>
  <si>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</si>
  <si>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</si>
  <si>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</si>
  <si>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</si>
  <si>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</si>
  <si>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</si>
  <si>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</si>
  <si>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</si>
  <si>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</si>
  <si>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</si>
  <si>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</si>
  <si>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</si>
  <si>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</si>
  <si>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</si>
  <si>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</si>
  <si>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</si>
  <si>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</si>
  <si>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</si>
  <si>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</si>
  <si>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</si>
  <si>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</si>
  <si>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</si>
  <si>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</si>
  <si>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</si>
  <si>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</si>
  <si>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</si>
  <si>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</si>
  <si>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</si>
  <si>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</si>
  <si>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</si>
  <si>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</si>
  <si>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</si>
  <si>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</si>
  <si>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</si>
  <si>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</si>
  <si>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</si>
  <si>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</si>
  <si>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</si>
  <si>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</si>
  <si>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</si>
  <si>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</si>
  <si>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</si>
  <si>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</si>
  <si>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</si>
  <si>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</si>
  <si>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</si>
  <si>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</si>
  <si>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</si>
  <si>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</si>
  <si>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</si>
  <si>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</si>
  <si>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</si>
  <si>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</si>
  <si>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</si>
  <si>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</si>
  <si>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</si>
  <si>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</si>
  <si>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</si>
  <si>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</si>
  <si>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</si>
  <si>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</si>
  <si>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</si>
  <si>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</si>
  <si>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</si>
  <si>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</si>
  <si>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</si>
  <si>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</si>
  <si>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</si>
  <si>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</si>
  <si>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</si>
  <si>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</si>
  <si>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</si>
  <si>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</si>
  <si>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</si>
  <si>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</si>
  <si>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</si>
  <si>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</si>
  <si>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</si>
  <si>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</si>
  <si>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</si>
  <si>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</si>
  <si>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</si>
  <si>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</si>
  <si>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</si>
  <si>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</si>
  <si>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</si>
  <si>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</si>
  <si>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</si>
  <si>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</si>
  <si>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</si>
  <si>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</si>
  <si>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</si>
  <si>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</si>
  <si>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</si>
  <si>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</si>
  <si>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</si>
  <si>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</si>
  <si>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</si>
  <si>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</si>
  <si>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</si>
  <si>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</si>
  <si>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</si>
  <si>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</si>
  <si>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</si>
  <si>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</si>
  <si>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</si>
  <si>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</si>
  <si>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</si>
  <si>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</si>
  <si>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</si>
  <si>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</si>
  <si>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</si>
  <si>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</si>
  <si>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</si>
  <si>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</si>
  <si>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</si>
  <si>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</si>
  <si>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</si>
  <si>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</si>
  <si>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</si>
  <si>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</si>
  <si>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</si>
  <si>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</si>
  <si>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</si>
  <si>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</si>
  <si>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</si>
  <si>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</si>
  <si>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</si>
  <si>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</si>
  <si>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</si>
  <si>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</si>
  <si>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</si>
  <si>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</si>
  <si>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</si>
  <si>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</si>
  <si>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</si>
  <si>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</si>
  <si>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</si>
  <si>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</si>
  <si>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</si>
  <si>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</si>
  <si>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</si>
  <si>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</si>
  <si>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</si>
  <si>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</si>
  <si>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</si>
  <si>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</si>
  <si>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</si>
  <si>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</si>
  <si>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</si>
  <si>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</si>
  <si>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</si>
  <si>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</si>
  <si>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</si>
  <si>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</si>
  <si>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</si>
  <si>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</si>
  <si>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</si>
  <si>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</si>
  <si>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</si>
  <si>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</si>
  <si>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</si>
  <si>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</si>
  <si>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</si>
  <si>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</si>
  <si>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</si>
  <si>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</si>
  <si>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</si>
  <si>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</si>
  <si>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</si>
  <si>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</si>
  <si>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</si>
  <si>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</si>
  <si>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</si>
  <si>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</si>
  <si>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</si>
  <si>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</si>
  <si>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</si>
  <si>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</si>
  <si>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</si>
  <si>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</si>
  <si>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</si>
  <si>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</si>
  <si>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</si>
  <si>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</si>
  <si>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</si>
  <si>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</si>
  <si>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</si>
  <si>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</si>
  <si>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</si>
  <si>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</si>
  <si>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</si>
  <si>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</si>
  <si>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</si>
  <si>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</si>
  <si>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</si>
  <si>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</si>
  <si>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</si>
  <si>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</si>
  <si>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</si>
  <si>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</si>
  <si>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</si>
  <si>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</si>
  <si>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</si>
  <si>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</si>
  <si>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</si>
  <si>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</si>
  <si>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</si>
  <si>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</si>
  <si>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</si>
  <si>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</si>
  <si>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</si>
  <si>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</si>
  <si>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</si>
  <si>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</si>
  <si>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</si>
  <si>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</si>
  <si>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</si>
  <si>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</si>
  <si>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</si>
  <si>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</si>
  <si>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</si>
  <si>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</si>
  <si>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</si>
  <si>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</si>
  <si>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</si>
  <si>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</si>
  <si>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</si>
  <si>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</si>
  <si>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</si>
  <si>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</si>
  <si>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</si>
  <si>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</si>
  <si>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</si>
  <si>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</si>
  <si>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</si>
  <si>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</si>
  <si>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</si>
  <si>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</si>
  <si>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</si>
  <si>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</si>
  <si>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</si>
  <si>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</si>
  <si>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</si>
  <si>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</si>
  <si>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</si>
  <si>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</si>
  <si>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</si>
  <si>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</si>
  <si>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</si>
  <si>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</si>
  <si>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</si>
  <si>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</si>
  <si>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</si>
  <si>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</si>
  <si>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</si>
  <si>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</si>
  <si>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</si>
  <si>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</si>
  <si>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</si>
  <si>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</si>
  <si>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</si>
  <si>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</si>
  <si>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</si>
  <si>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</si>
  <si>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</si>
  <si>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</si>
  <si>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</si>
  <si>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</si>
  <si>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</si>
  <si>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</si>
  <si>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</si>
  <si>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</si>
  <si>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</si>
  <si>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</si>
  <si>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</si>
  <si>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</si>
  <si>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</si>
  <si>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</si>
  <si>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</si>
  <si>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</si>
  <si>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</si>
  <si>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</si>
  <si>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</si>
  <si>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</si>
  <si>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</si>
  <si>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</si>
  <si>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</si>
  <si>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</si>
  <si>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</si>
  <si>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</si>
  <si>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</si>
  <si>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</si>
  <si>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</si>
  <si>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</si>
  <si>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</si>
  <si>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</si>
  <si>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</si>
  <si>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</si>
  <si>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</si>
  <si>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</si>
  <si>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</si>
  <si>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</si>
  <si>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</si>
  <si>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</si>
  <si>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</si>
  <si>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</si>
  <si>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</si>
  <si>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</si>
  <si>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</si>
  <si>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</si>
  <si>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</si>
  <si>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</si>
  <si>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</si>
  <si>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</si>
  <si>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</si>
  <si>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</si>
  <si>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</si>
  <si>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</si>
  <si>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</si>
  <si>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</si>
  <si>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</si>
  <si>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</si>
  <si>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</si>
  <si>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</si>
  <si>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</si>
  <si>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</si>
  <si>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</si>
  <si>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</si>
  <si>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</si>
  <si>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</si>
  <si>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</si>
  <si>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</si>
  <si>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</si>
  <si>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</si>
  <si>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</si>
  <si>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</si>
  <si>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</si>
  <si>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</si>
  <si>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</si>
  <si>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</si>
  <si>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</si>
  <si>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</si>
  <si>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</si>
  <si>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</si>
  <si>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</si>
  <si>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</si>
  <si>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</si>
  <si>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</si>
  <si>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</si>
  <si>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</si>
  <si>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</si>
  <si>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</si>
  <si>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</si>
  <si>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</si>
  <si>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</si>
  <si>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</si>
  <si>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</si>
  <si>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</si>
  <si>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</si>
  <si>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</si>
  <si>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</si>
  <si>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</si>
  <si>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</si>
  <si>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</si>
  <si>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</si>
  <si>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</si>
  <si>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</si>
  <si>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</si>
  <si>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</si>
  <si>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</si>
  <si>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</si>
  <si>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</si>
  <si>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</si>
  <si>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</si>
  <si>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</si>
  <si>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</si>
  <si>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</si>
  <si>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</si>
  <si>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</si>
  <si>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</si>
  <si>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</si>
  <si>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</si>
  <si>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</si>
  <si>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</si>
  <si>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</si>
  <si>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</si>
  <si>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</si>
  <si>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</si>
  <si>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</si>
  <si>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</si>
  <si>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</si>
  <si>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</si>
  <si>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</si>
  <si>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</si>
  <si>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</si>
  <si>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</si>
  <si>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</si>
  <si>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</si>
  <si>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</si>
  <si>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</si>
  <si>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</si>
  <si>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</si>
  <si>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</si>
  <si>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</si>
  <si>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</si>
  <si>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</si>
  <si>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</si>
  <si>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</si>
  <si>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</si>
  <si>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</si>
  <si>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</si>
  <si>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</si>
  <si>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</si>
  <si>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</si>
  <si>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</si>
  <si>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</si>
  <si>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</si>
  <si>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</si>
  <si>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</si>
  <si>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</si>
  <si>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</si>
  <si>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</si>
  <si>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</si>
  <si>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</si>
  <si>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</si>
  <si>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</si>
  <si>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</si>
  <si>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</si>
  <si>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</si>
  <si>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</si>
  <si>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</si>
  <si>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</si>
  <si>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</si>
  <si>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</si>
  <si>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</si>
  <si>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</si>
  <si>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</si>
  <si>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</si>
  <si>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</si>
  <si>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</si>
  <si>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</si>
  <si>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</si>
  <si>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</si>
  <si>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</si>
  <si>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</si>
  <si>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</si>
  <si>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</si>
  <si>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</si>
  <si>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</si>
  <si>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</si>
  <si>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</si>
  <si>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</si>
  <si>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</si>
  <si>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</si>
  <si>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</si>
  <si>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</si>
  <si>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</si>
  <si>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</si>
  <si>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</si>
  <si>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</si>
  <si>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</si>
  <si>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</si>
  <si>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</si>
  <si>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</si>
  <si>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</si>
  <si>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</si>
  <si>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</si>
  <si>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</si>
  <si>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</si>
  <si>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</si>
  <si>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</si>
  <si>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</si>
  <si>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</si>
  <si>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</si>
  <si>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</si>
  <si>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</si>
  <si>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</si>
  <si>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</si>
  <si>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</si>
  <si>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</si>
  <si>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</si>
  <si>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</si>
  <si>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</si>
  <si>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</si>
  <si>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</si>
  <si>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</si>
  <si>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</si>
  <si>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</si>
  <si>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</si>
  <si>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</si>
  <si>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</si>
  <si>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</si>
  <si>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</si>
  <si>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</si>
  <si>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</si>
  <si>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</si>
  <si>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</si>
  <si>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</si>
  <si>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</si>
  <si>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</si>
  <si>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</si>
  <si>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</si>
  <si>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</si>
  <si>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</si>
  <si>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</si>
  <si>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</si>
  <si>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</si>
  <si>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</si>
  <si>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</si>
  <si>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</si>
  <si>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</si>
  <si>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</si>
  <si>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</si>
  <si>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</si>
  <si>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</si>
  <si>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</si>
  <si>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</si>
  <si>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</si>
  <si>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</si>
  <si>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</si>
  <si>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</si>
  <si>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</si>
  <si>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</si>
  <si>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</si>
  <si>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</si>
  <si>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</si>
  <si>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</si>
  <si>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</si>
  <si>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</si>
  <si>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</si>
  <si>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</si>
  <si>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</si>
  <si>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</si>
  <si>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</si>
  <si>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</si>
  <si>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</si>
  <si>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</si>
  <si>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</si>
  <si>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</si>
  <si>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</si>
  <si>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</si>
  <si>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</si>
  <si>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</si>
  <si>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</si>
  <si>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</si>
  <si>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</si>
  <si>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</si>
  <si>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</si>
  <si>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</si>
  <si>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</si>
  <si>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</si>
  <si>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</si>
  <si>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</si>
  <si>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</si>
  <si>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</si>
  <si>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</si>
  <si>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</si>
  <si>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</si>
  <si>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</si>
  <si>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</si>
  <si>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</si>
  <si>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</si>
  <si>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</si>
  <si>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</si>
  <si>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</si>
  <si>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</si>
  <si>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</si>
  <si>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</si>
  <si>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</si>
  <si>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</si>
  <si>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</si>
  <si>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</si>
  <si>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</si>
  <si>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</si>
  <si>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</si>
  <si>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</si>
  <si>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</si>
  <si>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</si>
  <si>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</si>
  <si>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</si>
  <si>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</si>
  <si>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</si>
  <si>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</si>
  <si>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</si>
  <si>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</si>
  <si>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</si>
  <si>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</si>
  <si>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</si>
  <si>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</si>
  <si>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</si>
  <si>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</si>
  <si>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</si>
  <si>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</si>
  <si>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</si>
  <si>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</si>
  <si>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</si>
  <si>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</si>
  <si>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</si>
  <si>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</si>
  <si>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</si>
  <si>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</si>
  <si>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</si>
  <si>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</si>
  <si>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</si>
  <si>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</si>
  <si>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</si>
  <si>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</si>
  <si>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</si>
  <si>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</si>
  <si>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</si>
  <si>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</si>
  <si>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</si>
  <si>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</si>
  <si>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</si>
  <si>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</si>
  <si>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</si>
  <si>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</si>
  <si>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</si>
  <si>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</si>
  <si>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</si>
  <si>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</si>
  <si>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</si>
  <si>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</si>
  <si>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</si>
  <si>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</si>
  <si>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</si>
  <si>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</si>
  <si>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</si>
  <si>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</si>
  <si>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</si>
  <si>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</si>
  <si>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</si>
  <si>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</si>
  <si>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</si>
  <si>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</si>
  <si>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</si>
  <si>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</si>
  <si>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</si>
  <si>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</si>
  <si>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</si>
  <si>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</si>
  <si>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</si>
  <si>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</si>
  <si>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</si>
  <si>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</si>
  <si>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</si>
  <si>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</si>
  <si>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</si>
  <si>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</si>
  <si>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</si>
  <si>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</si>
  <si>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</si>
  <si>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</si>
  <si>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</si>
  <si>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</si>
  <si>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</si>
  <si>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</si>
  <si>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</si>
  <si>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</si>
  <si>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</si>
  <si>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</si>
  <si>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</si>
  <si>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</si>
  <si>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</si>
  <si>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</si>
  <si>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</si>
  <si>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</si>
  <si>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</si>
  <si>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</si>
  <si>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</si>
  <si>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</si>
  <si>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</si>
  <si>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</si>
  <si>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</si>
  <si>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</si>
  <si>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</si>
  <si>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</si>
  <si>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</si>
  <si>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</si>
  <si>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</si>
  <si>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</si>
  <si>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</si>
  <si>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</si>
  <si>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</si>
  <si>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</si>
  <si>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</si>
  <si>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</si>
  <si>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</si>
  <si>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</si>
  <si>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</si>
  <si>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</si>
  <si>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</si>
  <si>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</si>
  <si>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</si>
  <si>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</si>
  <si>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</si>
  <si>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</si>
  <si>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</si>
  <si>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</si>
  <si>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</si>
  <si>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</si>
  <si>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</si>
  <si>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</si>
  <si>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</si>
  <si>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</si>
  <si>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</si>
  <si>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</si>
  <si>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</si>
  <si>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</si>
  <si>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</si>
  <si>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</si>
  <si>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</si>
  <si>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</si>
  <si>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</si>
  <si>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</si>
  <si>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</si>
  <si>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</si>
  <si>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</si>
  <si>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</si>
  <si>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</si>
  <si>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</si>
  <si>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</si>
  <si>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</si>
  <si>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</si>
  <si>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</si>
  <si>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</si>
  <si>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</si>
  <si>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</si>
  <si>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</si>
  <si>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</si>
  <si>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</si>
  <si>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</si>
  <si>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</si>
  <si>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</si>
  <si>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</si>
  <si>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</si>
  <si>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</si>
  <si>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</si>
  <si>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</si>
  <si>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</si>
  <si>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</si>
  <si>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</si>
  <si>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</si>
  <si>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</si>
  <si>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</si>
  <si>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</si>
  <si>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</si>
  <si>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</si>
  <si>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</si>
  <si>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</si>
  <si>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</si>
  <si>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</si>
  <si>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</si>
  <si>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</si>
  <si>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</si>
  <si>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</si>
  <si>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</si>
  <si>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</si>
  <si>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</si>
  <si>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</si>
  <si>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</si>
  <si>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</si>
  <si>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</si>
  <si>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</si>
  <si>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</si>
  <si>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</si>
  <si>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</si>
  <si>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</si>
  <si>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</si>
  <si>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</si>
  <si>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</si>
  <si>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</si>
  <si>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</si>
  <si>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</si>
  <si>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</si>
  <si>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</si>
  <si>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</si>
  <si>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</si>
  <si>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</si>
  <si>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</si>
  <si>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</si>
  <si>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</si>
  <si>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</si>
  <si>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</si>
  <si>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</si>
  <si>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</si>
  <si>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</si>
  <si>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</si>
  <si>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</si>
  <si>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</si>
  <si>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</si>
  <si>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</si>
  <si>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</si>
  <si>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</si>
  <si>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</si>
  <si>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</si>
  <si>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</si>
  <si>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</si>
  <si>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</si>
  <si>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</si>
  <si>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</si>
  <si>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</si>
  <si>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</si>
  <si>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</si>
  <si>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</si>
  <si>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</si>
  <si>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</si>
  <si>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</si>
  <si>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</si>
  <si>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</si>
  <si>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</si>
  <si>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</si>
  <si>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</si>
  <si>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</si>
  <si>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</si>
  <si>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</si>
  <si>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</si>
  <si>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</si>
  <si>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</si>
  <si>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</si>
  <si>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</si>
  <si>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</si>
  <si>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</si>
  <si>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</si>
  <si>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</si>
  <si>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</si>
  <si>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</si>
  <si>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</si>
  <si>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</si>
  <si>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</si>
  <si>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</si>
  <si>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</si>
  <si>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</si>
  <si>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</si>
  <si>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</si>
  <si>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</si>
  <si>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</si>
  <si>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</si>
  <si>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</si>
  <si>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</si>
  <si>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</si>
  <si>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</si>
  <si>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</si>
  <si>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</si>
  <si>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</si>
  <si>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</si>
  <si>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</si>
  <si>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</si>
  <si>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</si>
  <si>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</si>
  <si>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</si>
  <si>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</si>
  <si>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</si>
  <si>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</si>
  <si>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</si>
  <si>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</si>
  <si>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</si>
  <si>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</si>
  <si>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</si>
  <si>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</si>
  <si>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</si>
  <si>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</si>
  <si>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</si>
  <si>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</si>
  <si>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</si>
  <si>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</si>
  <si>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</si>
  <si>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</si>
  <si>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</si>
  <si>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</si>
  <si>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</si>
  <si>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</si>
  <si>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</si>
  <si>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</si>
  <si>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</si>
  <si>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</si>
  <si>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</si>
  <si>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</si>
  <si>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</si>
  <si>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</si>
  <si>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</si>
  <si>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</si>
  <si>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</si>
  <si>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</si>
  <si>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</si>
  <si>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</si>
  <si>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</si>
  <si>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</si>
  <si>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</si>
  <si>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</si>
  <si>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</si>
  <si>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</si>
  <si>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</si>
  <si>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</si>
  <si>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</si>
  <si>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</si>
  <si>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</si>
  <si>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</si>
  <si>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</si>
  <si>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</si>
  <si>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</si>
  <si>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</si>
  <si>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</si>
  <si>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</si>
  <si>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</si>
  <si>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</si>
  <si>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</si>
  <si>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</si>
  <si>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</si>
  <si>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</si>
  <si>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</si>
  <si>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</si>
  <si>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</si>
  <si>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</si>
  <si>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</si>
  <si>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</si>
  <si>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</si>
  <si>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</si>
  <si>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</si>
  <si>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</si>
  <si>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</si>
  <si>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</si>
  <si>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</si>
  <si>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</si>
  <si>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</si>
  <si>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</si>
  <si>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</si>
  <si>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</si>
  <si>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</si>
  <si>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</si>
  <si>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</si>
  <si>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</si>
  <si>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</si>
  <si>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</si>
  <si>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</si>
  <si>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</si>
  <si>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</si>
  <si>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</si>
  <si>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</si>
  <si>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</si>
  <si>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</si>
  <si>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</si>
  <si>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</si>
  <si>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</si>
  <si>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</si>
  <si>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</si>
  <si>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</si>
  <si>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</si>
  <si>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</si>
  <si>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</si>
  <si>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</si>
  <si>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</si>
  <si>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</si>
  <si>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</si>
  <si>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</si>
  <si>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</si>
  <si>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</si>
  <si>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</si>
  <si>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</si>
  <si>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</si>
  <si>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</si>
  <si>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</si>
  <si>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</si>
  <si>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</si>
  <si>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</si>
  <si>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</si>
  <si>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</si>
  <si>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</si>
  <si>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</si>
  <si>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</si>
  <si>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</si>
  <si>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</si>
  <si>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</si>
  <si>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</si>
  <si>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</si>
  <si>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</si>
  <si>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</si>
  <si>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</si>
  <si>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</si>
  <si>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</si>
  <si>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</si>
  <si>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</si>
  <si>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</si>
  <si>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</si>
  <si>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</si>
  <si>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</si>
  <si>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</si>
  <si>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</si>
  <si>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</si>
  <si>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</si>
  <si>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</si>
  <si>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</si>
  <si>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</si>
  <si>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</si>
  <si>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</si>
  <si>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</si>
  <si>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</si>
  <si>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</si>
  <si>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</si>
  <si>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</si>
  <si>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</si>
  <si>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</si>
  <si>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</si>
  <si>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</si>
  <si>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</si>
  <si>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</si>
  <si>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</si>
  <si>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</si>
  <si>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</si>
  <si>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</si>
  <si>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</si>
  <si>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</si>
  <si>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</si>
  <si>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</si>
  <si>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</si>
  <si>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</si>
  <si>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</si>
  <si>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</si>
  <si>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</si>
  <si>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</si>
  <si>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</si>
  <si>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</si>
  <si>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</si>
  <si>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</si>
  <si>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</si>
  <si>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</si>
  <si>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</si>
  <si>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</si>
  <si>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</si>
  <si>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</si>
  <si>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</si>
  <si>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</si>
  <si>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</si>
  <si>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</si>
  <si>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</si>
  <si>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</si>
  <si>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</si>
  <si>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</si>
  <si>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</si>
  <si>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</si>
  <si>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</si>
  <si>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</si>
  <si>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</si>
  <si>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</si>
  <si>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</si>
  <si>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</si>
  <si>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</si>
  <si>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</si>
  <si>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</si>
  <si>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</si>
  <si>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</si>
  <si>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</si>
  <si>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</si>
  <si>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</si>
  <si>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</si>
  <si>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</si>
  <si>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</si>
  <si>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</si>
  <si>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</si>
  <si>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</si>
  <si>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</si>
  <si>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</si>
  <si>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</si>
  <si>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</si>
  <si>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</si>
  <si>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</si>
  <si>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</si>
  <si>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</si>
  <si>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</si>
  <si>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</si>
  <si>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</si>
  <si>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</si>
  <si>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</si>
  <si>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</si>
  <si>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</si>
  <si>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</si>
  <si>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</si>
  <si>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</si>
  <si>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</si>
  <si>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</si>
  <si>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</si>
  <si>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</si>
  <si>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</si>
  <si>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</si>
  <si>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</si>
  <si>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</si>
  <si>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</si>
  <si>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</si>
  <si>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</si>
  <si>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</si>
  <si>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</si>
  <si>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</si>
  <si>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</si>
  <si>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</si>
  <si>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</si>
  <si>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</si>
  <si>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</si>
  <si>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</si>
  <si>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</si>
  <si>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</si>
  <si>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</si>
  <si>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</si>
  <si>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</si>
  <si>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</si>
  <si>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</si>
  <si>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</si>
  <si>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</si>
  <si>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</si>
  <si>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</si>
  <si>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</si>
  <si>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</si>
  <si>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</si>
  <si>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</si>
  <si>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</si>
  <si>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</si>
  <si>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</si>
  <si>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</si>
  <si>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</si>
  <si>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</si>
  <si>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</si>
  <si>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</si>
  <si>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</si>
  <si>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</si>
  <si>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</si>
  <si>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</si>
  <si>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</si>
  <si>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</si>
  <si>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</si>
  <si>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</si>
  <si>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</si>
  <si>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</si>
  <si>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</si>
  <si>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</si>
  <si>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</si>
  <si>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</si>
  <si>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</si>
  <si>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</si>
  <si>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</si>
  <si>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</si>
  <si>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</si>
  <si>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</si>
  <si>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</si>
  <si>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</si>
  <si>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</si>
  <si>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</si>
  <si>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</si>
  <si>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</si>
  <si>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</si>
  <si>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</si>
  <si>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</si>
  <si>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</si>
  <si>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</si>
  <si>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</si>
  <si>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</si>
  <si>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</si>
  <si>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</si>
  <si>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</si>
  <si>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</si>
  <si>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</si>
  <si>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</si>
  <si>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</si>
  <si>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</si>
  <si>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</si>
  <si>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</si>
  <si>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</si>
  <si>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</si>
  <si>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</si>
  <si>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</si>
  <si>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</si>
  <si>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</si>
  <si>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</si>
  <si>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</si>
  <si>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</si>
  <si>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</si>
  <si>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</si>
  <si>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</si>
  <si>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</si>
  <si>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</si>
  <si>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</si>
  <si>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</si>
  <si>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</si>
  <si>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</si>
  <si>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</si>
  <si>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</si>
  <si>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</si>
  <si>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</si>
  <si>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</si>
  <si>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</si>
  <si>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</si>
  <si>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</si>
  <si>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</si>
  <si>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</si>
  <si>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</si>
  <si>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</si>
  <si>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</si>
  <si>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</si>
  <si>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</si>
  <si>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</si>
  <si>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</si>
  <si>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</si>
  <si>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</si>
  <si>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</si>
  <si>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</si>
  <si>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</si>
  <si>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</si>
  <si>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</si>
  <si>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</si>
  <si>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</si>
  <si>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</si>
  <si>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</si>
  <si>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</si>
  <si>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</si>
  <si>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</si>
  <si>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</si>
  <si>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</si>
  <si>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</si>
  <si>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</si>
  <si>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</si>
  <si>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</si>
  <si>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</si>
  <si>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</si>
  <si>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</si>
  <si>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</si>
  <si>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</si>
  <si>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</si>
  <si>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</si>
  <si>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</si>
  <si>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</si>
  <si>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</si>
  <si>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</si>
  <si>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</si>
  <si>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</si>
  <si>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</si>
  <si>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</si>
  <si>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</si>
  <si>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</si>
  <si>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</si>
  <si>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</si>
  <si>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</si>
  <si>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</si>
  <si>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</si>
  <si>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</si>
  <si>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</si>
  <si>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</si>
  <si>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</si>
  <si>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</si>
  <si>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</si>
  <si>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</si>
  <si>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</si>
  <si>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</si>
  <si>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</si>
  <si>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</si>
  <si>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</si>
  <si>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</si>
  <si>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</si>
  <si>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</si>
  <si>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</si>
  <si>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</si>
  <si>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</si>
  <si>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</si>
  <si>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</si>
  <si>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</si>
  <si>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</si>
  <si>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</si>
  <si>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</si>
  <si>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</si>
  <si>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</si>
  <si>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</si>
  <si>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</si>
  <si>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</si>
  <si>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</si>
  <si>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</si>
  <si>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</si>
  <si>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</si>
  <si>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</si>
  <si>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</si>
  <si>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</si>
  <si>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</si>
  <si>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</si>
  <si>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</si>
  <si>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</si>
  <si>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</si>
  <si>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</si>
  <si>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</si>
  <si>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</si>
  <si>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</si>
  <si>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</si>
  <si>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</si>
  <si>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</si>
  <si>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</si>
  <si>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</si>
  <si>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</si>
  <si>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</si>
  <si>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</si>
  <si>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</si>
  <si>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</si>
  <si>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</si>
  <si>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</si>
  <si>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</si>
  <si>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</si>
  <si>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</si>
  <si>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</si>
  <si>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</si>
  <si>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</si>
  <si>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</si>
  <si>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</si>
  <si>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</si>
  <si>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</si>
  <si>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</si>
  <si>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</si>
  <si>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</si>
  <si>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</si>
  <si>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</si>
  <si>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</si>
  <si>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</si>
  <si>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</si>
  <si>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</si>
  <si>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</si>
  <si>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</si>
  <si>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</si>
  <si>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</si>
  <si>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</si>
  <si>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</si>
  <si>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</si>
  <si>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</si>
  <si>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</si>
  <si>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</si>
  <si>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</si>
  <si>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</si>
  <si>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</si>
  <si>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</si>
  <si>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</si>
  <si>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</si>
  <si>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</si>
  <si>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</si>
  <si>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</si>
  <si>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</si>
  <si>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</si>
  <si>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</si>
  <si>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</si>
  <si>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</si>
  <si>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</si>
  <si>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</si>
  <si>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</si>
  <si>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</si>
  <si>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</si>
  <si>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</si>
  <si>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</si>
  <si>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</si>
  <si>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</si>
  <si>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</si>
  <si>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</si>
  <si>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</si>
  <si>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</si>
  <si>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</si>
  <si>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</si>
  <si>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</si>
  <si>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</si>
  <si>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</si>
  <si>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</si>
  <si>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</si>
  <si>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</si>
  <si>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</si>
  <si>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</si>
  <si>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</si>
  <si>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</si>
  <si>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</si>
  <si>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</si>
  <si>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</si>
  <si>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</si>
  <si>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</si>
  <si>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</si>
  <si>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</si>
  <si>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</si>
  <si>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</si>
  <si>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</si>
  <si>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</si>
  <si>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</si>
  <si>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</si>
  <si>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</si>
  <si>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</si>
  <si>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</si>
  <si>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</si>
  <si>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</si>
  <si>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</si>
  <si>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</si>
  <si>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</si>
  <si>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</si>
  <si>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</si>
  <si>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</si>
  <si>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</si>
  <si>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</si>
  <si>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</si>
  <si>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</si>
  <si>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</si>
  <si>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</si>
  <si>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</si>
  <si>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</si>
  <si>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</si>
  <si>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</si>
  <si>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</si>
  <si>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</si>
  <si>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</si>
  <si>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</si>
  <si>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</si>
  <si>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</si>
  <si>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</si>
  <si>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</si>
  <si>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</si>
  <si>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</si>
  <si>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</si>
  <si>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</si>
  <si>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</si>
  <si>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</si>
  <si>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</si>
  <si>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</si>
  <si>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</si>
  <si>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</si>
  <si>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</si>
  <si>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</si>
  <si>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</si>
  <si>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</si>
  <si>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</si>
  <si>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</si>
  <si>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</si>
  <si>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</si>
  <si>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</si>
  <si>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</si>
  <si>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</si>
  <si>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</si>
  <si>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</si>
  <si>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</si>
  <si>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</si>
  <si>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</si>
  <si>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</si>
  <si>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</si>
  <si>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</si>
  <si>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</si>
  <si>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</si>
  <si>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</si>
  <si>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</si>
  <si>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</si>
  <si>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</si>
  <si>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</si>
  <si>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</si>
  <si>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</si>
  <si>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</si>
  <si>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</si>
  <si>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</si>
  <si>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</si>
  <si>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</si>
  <si>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</si>
  <si>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</si>
  <si>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</si>
  <si>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</si>
  <si>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</si>
  <si>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</si>
  <si>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</si>
  <si>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</si>
  <si>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</si>
  <si>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</si>
  <si>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</si>
  <si>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</si>
  <si>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</si>
  <si>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</si>
  <si>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</si>
  <si>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</si>
  <si>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</si>
  <si>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</si>
  <si>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</si>
  <si>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</si>
  <si>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</si>
  <si>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</si>
  <si>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</si>
  <si>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</si>
  <si>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</si>
  <si>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</si>
  <si>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</si>
  <si>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</si>
  <si>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</si>
  <si>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</si>
  <si>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</si>
  <si>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</si>
  <si>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</si>
  <si>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</si>
  <si>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</si>
  <si>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</si>
  <si>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</si>
  <si>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</si>
  <si>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</si>
  <si>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</si>
  <si>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</si>
  <si>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</si>
  <si>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</si>
  <si>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</si>
  <si>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</si>
  <si>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</si>
  <si>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</si>
  <si>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</si>
  <si>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</si>
  <si>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</si>
  <si>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</si>
  <si>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</si>
  <si>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</si>
  <si>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</si>
  <si>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</si>
  <si>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</si>
  <si>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</si>
  <si>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</si>
  <si>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</si>
  <si>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</si>
  <si>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</si>
  <si>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</si>
  <si>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</si>
  <si>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</si>
  <si>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</si>
  <si>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</si>
  <si>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</si>
  <si>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</si>
  <si>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</si>
  <si>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</si>
  <si>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</si>
  <si>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</si>
  <si>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</si>
  <si>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</si>
  <si>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</si>
  <si>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</si>
  <si>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</si>
  <si>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</si>
  <si>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</si>
  <si>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</si>
  <si>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</si>
  <si>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</si>
  <si>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</si>
  <si>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</si>
  <si>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</si>
  <si>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</si>
  <si>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</si>
  <si>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</si>
  <si>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</si>
  <si>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</si>
  <si>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</si>
  <si>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</si>
  <si>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</si>
  <si>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</si>
  <si>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</si>
  <si>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</si>
  <si>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</si>
  <si>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</si>
  <si>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</si>
  <si>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</si>
  <si>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</si>
  <si>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</si>
  <si>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</si>
  <si>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</si>
  <si>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</si>
  <si>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</si>
  <si>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</si>
  <si>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</si>
  <si>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</si>
  <si>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</si>
  <si>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</si>
  <si>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</si>
  <si>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</si>
  <si>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</si>
  <si>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</si>
  <si>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</si>
  <si>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</si>
  <si>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</si>
  <si>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</si>
  <si>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</si>
  <si>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</si>
  <si>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</si>
  <si>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</si>
  <si>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</si>
  <si>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</si>
  <si>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</si>
  <si>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</si>
  <si>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</si>
  <si>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</si>
  <si>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</si>
  <si>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</si>
  <si>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</si>
  <si>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</si>
  <si>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</si>
  <si>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</si>
  <si>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</si>
  <si>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</si>
  <si>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</si>
  <si>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</si>
  <si>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</si>
  <si>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</si>
  <si>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</si>
  <si>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</si>
  <si>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</si>
  <si>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</si>
  <si>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</si>
  <si>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</si>
  <si>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</si>
  <si>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</si>
  <si>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</si>
  <si>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</si>
  <si>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</si>
  <si>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</si>
  <si>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</si>
  <si>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</si>
  <si>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</si>
  <si>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</si>
  <si>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</si>
  <si>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</si>
  <si>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</si>
  <si>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</si>
  <si>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</si>
  <si>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</si>
  <si>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</si>
  <si>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</si>
  <si>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</si>
  <si>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</si>
  <si>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</si>
  <si>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</si>
  <si>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</si>
  <si>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</si>
  <si>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</si>
  <si>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</si>
  <si>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</si>
  <si>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</si>
  <si>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</si>
  <si>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</si>
  <si>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</si>
  <si>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</si>
  <si>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</si>
  <si>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</si>
  <si>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</si>
  <si>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</si>
  <si>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</si>
  <si>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</si>
  <si>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</si>
  <si>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</si>
  <si>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</si>
  <si>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</si>
  <si>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</si>
  <si>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</si>
  <si>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</si>
  <si>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</si>
  <si>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</si>
  <si>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</si>
  <si>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</si>
  <si>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</si>
  <si>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</si>
  <si>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</si>
  <si>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</si>
  <si>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</si>
  <si>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</si>
  <si>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</si>
  <si>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</si>
  <si>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</si>
  <si>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</si>
  <si>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</si>
  <si>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</si>
  <si>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</si>
  <si>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</si>
  <si>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</si>
  <si>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</si>
  <si>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</si>
  <si>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</si>
  <si>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</si>
  <si>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</si>
  <si>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</si>
  <si>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</si>
  <si>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</si>
  <si>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</si>
  <si>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</si>
  <si>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</si>
  <si>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</si>
  <si>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</si>
  <si>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</si>
  <si>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</si>
  <si>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</si>
  <si>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</si>
  <si>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</si>
  <si>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</si>
  <si>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</si>
  <si>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</si>
  <si>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</si>
  <si>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</si>
  <si>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</si>
  <si>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</si>
  <si>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</si>
  <si>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</si>
  <si>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</si>
  <si>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</si>
  <si>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</si>
  <si>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</si>
  <si>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</si>
  <si>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</si>
  <si>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</si>
  <si>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</si>
  <si>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</si>
  <si>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</si>
  <si>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</si>
  <si>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</si>
  <si>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</si>
  <si>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</si>
  <si>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</si>
  <si>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</si>
  <si>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</si>
  <si>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</si>
  <si>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</si>
  <si>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</si>
  <si>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</si>
  <si>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</si>
  <si>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</si>
  <si>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</si>
  <si>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</si>
  <si>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</si>
  <si>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</si>
  <si>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</si>
  <si>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</si>
  <si>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</si>
  <si>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</si>
  <si>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</si>
  <si>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</si>
  <si>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</si>
  <si>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</si>
  <si>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</si>
  <si>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</si>
  <si>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</si>
  <si>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</si>
  <si>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</si>
  <si>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</si>
  <si>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</si>
  <si>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</si>
  <si>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</si>
  <si>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</si>
  <si>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</si>
  <si>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</si>
  <si>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</si>
  <si>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</si>
  <si>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</si>
  <si>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</si>
  <si>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</si>
  <si>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</si>
  <si>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</si>
  <si>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</si>
  <si>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</si>
  <si>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</si>
  <si>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</si>
  <si>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</si>
  <si>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</si>
  <si>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</si>
  <si>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</si>
  <si>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</si>
  <si>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</si>
  <si>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</si>
  <si>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</si>
  <si>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</si>
  <si>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</si>
  <si>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</si>
  <si>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</si>
  <si>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</si>
  <si>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</si>
  <si>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</si>
  <si>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</si>
  <si>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</si>
  <si>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</si>
  <si>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</si>
  <si>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</si>
  <si>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</si>
  <si>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</si>
  <si>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</si>
  <si>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</si>
  <si>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</si>
  <si>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</si>
  <si>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</si>
  <si>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</si>
  <si>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</si>
  <si>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</si>
  <si>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</si>
  <si>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</si>
  <si>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</si>
  <si>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</si>
  <si>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</si>
  <si>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</si>
  <si>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</si>
  <si>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</si>
  <si>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</si>
  <si>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</si>
  <si>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</si>
  <si>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</si>
  <si>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</si>
  <si>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</si>
  <si>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</si>
  <si>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</si>
  <si>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</si>
  <si>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</si>
  <si>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</si>
  <si>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</si>
  <si>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</si>
  <si>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</si>
  <si>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</si>
  <si>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</si>
  <si>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</si>
  <si>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</si>
  <si>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</si>
  <si>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</si>
  <si>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</si>
  <si>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</si>
  <si>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</si>
  <si>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</si>
  <si>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</si>
  <si>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</si>
  <si>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</si>
  <si>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</si>
  <si>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</si>
  <si>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</si>
  <si>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</si>
  <si>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</si>
  <si>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</si>
  <si>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</si>
  <si>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</si>
  <si>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</si>
  <si>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</si>
  <si>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</si>
  <si>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</si>
  <si>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</si>
  <si>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</si>
  <si>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</si>
  <si>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</si>
  <si>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</si>
  <si>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</si>
  <si>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</si>
  <si>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</si>
  <si>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</si>
  <si>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</si>
  <si>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</si>
  <si>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</si>
  <si>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</si>
  <si>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</si>
  <si>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</si>
  <si>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</si>
  <si>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</si>
  <si>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</si>
  <si>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</si>
  <si>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</si>
  <si>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</si>
  <si>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</si>
  <si>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</si>
  <si>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</si>
  <si>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</si>
  <si>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</si>
  <si>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</si>
  <si>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</si>
  <si>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</si>
  <si>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</si>
  <si>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</si>
  <si>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</si>
  <si>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</si>
  <si>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</si>
  <si>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</si>
  <si>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</si>
  <si>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</si>
  <si>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</si>
  <si>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</si>
  <si>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</si>
  <si>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</si>
  <si>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</si>
  <si>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</si>
  <si>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</si>
  <si>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</si>
  <si>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</si>
  <si>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</si>
  <si>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</si>
  <si>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</si>
  <si>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</si>
  <si>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</si>
  <si>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</si>
  <si>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</si>
  <si>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</si>
  <si>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</si>
  <si>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</si>
  <si>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</si>
  <si>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</si>
  <si>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</si>
  <si>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</si>
  <si>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</si>
  <si>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</si>
  <si>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</si>
  <si>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</si>
  <si>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</si>
  <si>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</si>
  <si>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</si>
  <si>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</si>
  <si>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</si>
  <si>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</si>
  <si>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</si>
  <si>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</si>
  <si>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</si>
  <si>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</si>
  <si>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</si>
  <si>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</si>
  <si>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</si>
  <si>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</si>
  <si>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</si>
  <si>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</si>
  <si>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</si>
  <si>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</si>
  <si>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</si>
  <si>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</si>
  <si>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</si>
  <si>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</si>
  <si>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</si>
  <si>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</si>
  <si>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</si>
  <si>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</si>
  <si>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</si>
  <si>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</si>
  <si>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</si>
  <si>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</si>
  <si>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</si>
  <si>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</si>
  <si>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</si>
  <si>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</si>
  <si>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</si>
  <si>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</si>
  <si>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</si>
  <si>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</si>
  <si>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</si>
  <si>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</si>
  <si>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</si>
  <si>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</si>
  <si>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</si>
  <si>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</si>
  <si>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</si>
  <si>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</si>
  <si>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</si>
  <si>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</si>
  <si>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</si>
  <si>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</si>
  <si>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</si>
  <si>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</si>
  <si>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</si>
  <si>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</si>
  <si>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</si>
  <si>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</si>
  <si>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</si>
  <si>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</si>
  <si>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</si>
  <si>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</si>
  <si>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</si>
  <si>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</si>
  <si>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</si>
  <si>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</si>
  <si>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</si>
  <si>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</si>
  <si>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</si>
  <si>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</si>
  <si>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</si>
  <si>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</si>
  <si>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</si>
  <si>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</si>
  <si>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</si>
  <si>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</si>
  <si>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</si>
  <si>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</si>
  <si>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</si>
  <si>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</si>
  <si>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</si>
  <si>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</si>
  <si>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</si>
  <si>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</si>
  <si>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</si>
  <si>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</si>
  <si>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</si>
  <si>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</si>
  <si>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</si>
  <si>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</si>
  <si>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</si>
  <si>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</si>
  <si>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</si>
  <si>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</si>
  <si>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</si>
  <si>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</si>
  <si>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</si>
  <si>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</si>
  <si>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</si>
  <si>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</si>
  <si>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</si>
  <si>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</si>
  <si>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</si>
  <si>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</si>
  <si>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</si>
  <si>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</si>
  <si>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</si>
  <si>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</si>
  <si>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</si>
  <si>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</si>
  <si>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</si>
  <si>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</si>
  <si>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</si>
  <si>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</si>
  <si>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</si>
  <si>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</si>
  <si>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</si>
  <si>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</si>
  <si>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</si>
  <si>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</si>
  <si>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</si>
  <si>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</si>
  <si>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</si>
  <si>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</si>
  <si>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</si>
  <si>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</si>
  <si>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</si>
  <si>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</si>
  <si>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</si>
  <si>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</si>
  <si>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</si>
  <si>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</si>
  <si>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</si>
  <si>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</si>
  <si>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</si>
  <si>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</si>
  <si>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</si>
  <si>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</si>
  <si>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</si>
  <si>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</si>
  <si>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</si>
  <si>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</si>
  <si>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</si>
  <si>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</si>
  <si>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</si>
  <si>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</si>
  <si>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</si>
  <si>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</si>
  <si>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</si>
  <si>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</si>
  <si>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</si>
  <si>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</si>
  <si>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</si>
  <si>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</si>
  <si>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</si>
  <si>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</si>
  <si>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</si>
  <si>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</si>
  <si>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</si>
  <si>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</si>
  <si>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</si>
  <si>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</si>
  <si>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</si>
  <si>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</si>
  <si>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</si>
  <si>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</si>
  <si>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</si>
  <si>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</si>
  <si>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</si>
  <si>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</si>
  <si>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</si>
  <si>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</si>
  <si>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</si>
  <si>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</si>
  <si>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</si>
  <si>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</si>
  <si>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</si>
  <si>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</si>
  <si>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</si>
  <si>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</si>
  <si>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</si>
  <si>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</si>
  <si>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</si>
  <si>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</si>
  <si>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</si>
  <si>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</si>
  <si>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</si>
  <si>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</si>
  <si>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</si>
  <si>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</si>
  <si>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</si>
  <si>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</si>
  <si>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</si>
  <si>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</si>
  <si>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</si>
  <si>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</si>
  <si>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</si>
  <si>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</si>
  <si>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</si>
  <si>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</si>
  <si>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</si>
  <si>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</si>
  <si>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</si>
  <si>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</si>
  <si>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</si>
  <si>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</si>
  <si>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</si>
  <si>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</si>
  <si>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</si>
  <si>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</si>
  <si>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</si>
  <si>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</si>
  <si>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</si>
  <si>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</si>
  <si>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</si>
  <si>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</si>
  <si>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</si>
  <si>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</si>
  <si>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</si>
  <si>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</si>
  <si>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</si>
  <si>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</si>
  <si>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</si>
  <si>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</si>
  <si>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</si>
  <si>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</si>
  <si>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</si>
  <si>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</si>
  <si>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</si>
  <si>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</si>
  <si>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</si>
  <si>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</si>
  <si>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</si>
  <si>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</si>
  <si>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</si>
  <si>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</si>
  <si>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</si>
  <si>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</si>
  <si>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</si>
  <si>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</si>
  <si>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</si>
  <si>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</si>
  <si>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</si>
  <si>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</si>
  <si>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</si>
  <si>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</si>
  <si>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</si>
  <si>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</si>
  <si>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</si>
  <si>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</si>
  <si>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</si>
  <si>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</si>
  <si>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</si>
  <si>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</si>
  <si>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</si>
  <si>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</si>
  <si>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</si>
  <si>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</si>
  <si>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</si>
  <si>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</si>
  <si>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ANTOINE ROBE</t>
  </si>
  <si>
    <t xml:space="preserve">L'ARRAT DE DEVANT</t>
  </si>
  <si>
    <t xml:space="preserve">L'ARRATS A MANENT-MONTANE</t>
  </si>
  <si>
    <t xml:space="preserve">05118760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</si>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</sst>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9.25</v>
      </c>
      <c r="N5" s="324"/>
      <c r="O5" s="325" t="s">
        <v>974</v>
      </c>
      <c r="P5" s="326" t="n">
        <v>10.6666666666667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12</v>
      </c>
      <c r="C7" s="342" t="n">
        <v>88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v>
      </c>
      <c r="P8" s="356" t="n">
        <f aca="false">IF(ISERROR(AVERAGE(K23:K82)),"  ",AVERAGE(K23:K82))</f>
        <v>1.375</v>
      </c>
      <c r="Q8" s="357"/>
      <c r="R8" s="281"/>
      <c r="S8" s="281"/>
      <c r="T8" s="281"/>
      <c r="U8" s="281"/>
      <c r="V8" s="281"/>
      <c r="W8" s="295"/>
      <c r="X8" s="0"/>
      <c r="Y8" s="0"/>
      <c r="Z8" s="0"/>
    </row>
    <row r="9" customFormat="false" ht="12.75" hidden="false" customHeight="false" outlineLevel="0" collapsed="false">
      <c r="A9" s="314" t="s">
        <v>3400</v>
      </c>
      <c r="B9" s="358" t="n">
        <v>3</v>
      </c>
      <c r="C9" s="359" t="n">
        <v>1</v>
      </c>
      <c r="D9" s="360"/>
      <c r="E9" s="360"/>
      <c r="F9" s="361" t="n">
        <f aca="false">($B9*$B$7+$C9*$C$7)/100</f>
        <v>1.24</v>
      </c>
      <c r="G9" s="362"/>
      <c r="H9" s="317"/>
      <c r="I9" s="281"/>
      <c r="J9" s="363"/>
      <c r="K9" s="364"/>
      <c r="L9" s="347"/>
      <c r="M9" s="365"/>
      <c r="N9" s="355" t="s">
        <v>3401</v>
      </c>
      <c r="O9" s="356" t="n">
        <f aca="false">IF(ISERROR(STDEVP(J23:J82))," ",STDEVP(J23:J82))</f>
        <v>3.04138126514911</v>
      </c>
      <c r="P9" s="356" t="n">
        <f aca="false">IF(ISERROR(STDEVP(K23:K82)),"  ",STDEVP(K23:K82))</f>
        <v>0.484122918275927</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3</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5</v>
      </c>
      <c r="M13" s="381"/>
      <c r="N13" s="389" t="s">
        <v>3413</v>
      </c>
      <c r="O13" s="390" t="n">
        <f aca="false">COUNTIF(F23:F82,"&gt;0")</f>
        <v>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v>
      </c>
      <c r="M15" s="381"/>
      <c r="N15" s="389" t="s">
        <v>3419</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0.888888888888889</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4.2</v>
      </c>
      <c r="C20" s="433" t="n">
        <f aca="false">SUM(C23:C82)</f>
        <v>1.25</v>
      </c>
      <c r="D20" s="434"/>
      <c r="E20" s="435" t="s">
        <v>3426</v>
      </c>
      <c r="F20" s="436" t="n">
        <f aca="false">($B20*$B$7+$C20*$C$7)/100</f>
        <v>1.604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0.504</v>
      </c>
      <c r="C21" s="444" t="n">
        <f aca="false">C20*C7/100</f>
        <v>1.1</v>
      </c>
      <c r="D21" s="445" t="s">
        <v>3429</v>
      </c>
      <c r="E21" s="446"/>
      <c r="F21" s="447" t="n">
        <f aca="false">B21+C21</f>
        <v>1.604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1</v>
      </c>
      <c r="C23" s="473" t="n">
        <v>0.05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0.164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0.164</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0.5</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0.06</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0.05</v>
      </c>
      <c r="C25" s="491"/>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0.006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0.006</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557</v>
      </c>
      <c r="B26" s="490"/>
      <c r="C26" s="491" t="n">
        <v>0.05</v>
      </c>
      <c r="D26" s="492" t="str">
        <f aca="false">IF(ISERROR(VLOOKUP($A26,'liste reference'!$A$6:$B$1174,2,0)),IF(ISERROR(VLOOKUP($A26,'liste reference'!$B$6:$B$1174,1,0)),"",VLOOKUP($A26,'liste reference'!$B$6:$B$1174,1,0)),VLOOKUP($A26,'liste reference'!$A$6:$B$1174,2,0))</f>
        <v>Pellia sp.</v>
      </c>
      <c r="E26" s="493" t="e">
        <f aca="false">IF(D26="",0,VLOOKUP(D26,D$22:D25,1,0))</f>
        <v>#N/A</v>
      </c>
      <c r="F26" s="494" t="n">
        <f aca="false">IF(AND(OR(A26="",A26="!!!!!!"),B26="",C26=""),"",IF(OR(AND(B26="",C26=""),ISERROR(C26+B26)),"!!!",($B26*$B$7+$C26*$C$7)/100))</f>
        <v>0.044</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Pellia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1196</v>
      </c>
      <c r="R26" s="484" t="n">
        <f aca="false">IF(ISTEXT(H26),"",(B26*$B$7/100)+(C26*$C$7/100))</f>
        <v>0.044</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PELSPX</v>
      </c>
      <c r="Z26" s="470" t="n">
        <f aca="false">IF(ISERROR(MATCH(A26,'liste reference'!$A$6:$A$1174,0)),IF(ISERROR(MATCH(A26,'liste reference'!$B$6:$B$1174,0)),"",(MATCH(A26,'liste reference'!$B$6:$B$1174,0))),(MATCH(A26,'liste reference'!$A$6:$A$1174,0)))</f>
        <v>170</v>
      </c>
    </row>
    <row r="27" customFormat="false" ht="12.75" hidden="false" customHeight="false" outlineLevel="0" collapsed="false">
      <c r="A27" s="489" t="s">
        <v>830</v>
      </c>
      <c r="B27" s="490" t="n">
        <v>0.05</v>
      </c>
      <c r="C27" s="491" t="n">
        <v>0.05</v>
      </c>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889</v>
      </c>
      <c r="B28" s="490" t="n">
        <v>2</v>
      </c>
      <c r="C28" s="491" t="n">
        <v>1</v>
      </c>
      <c r="D28" s="492" t="str">
        <f aca="false">IF(ISERROR(VLOOKUP($A28,'liste reference'!$A$6:$B$1174,2,0)),IF(ISERROR(VLOOKUP($A28,'liste reference'!$B$6:$B$1174,1,0)),"",VLOOKUP($A28,'liste reference'!$B$6:$B$1174,1,0)),VLOOKUP($A28,'liste reference'!$A$6:$B$1174,2,0))</f>
        <v>Fontinalis antipyretica</v>
      </c>
      <c r="E28" s="493" t="e">
        <f aca="false">IF(D28="",0,VLOOKUP(D28,D$22:D27,1,0))</f>
        <v>#N/A</v>
      </c>
      <c r="F28" s="494" t="n">
        <f aca="false">IF(AND(OR(A28="",A28="!!!!!!"),B28="",C28=""),"",IF(OR(AND(B28="",C28=""),ISERROR(C28+B28)),"!!!",($B28*$B$7+$C28*$C$7)/100))</f>
        <v>1.12</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Fontinalis antipyretica</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1310</v>
      </c>
      <c r="R28" s="484" t="n">
        <f aca="false">IF(ISTEXT(H28),"",(B28*$B$7/100)+(C28*$C$7/100))</f>
        <v>1.12</v>
      </c>
      <c r="S28" s="485" t="n">
        <f aca="false">IF(OR(ISTEXT(H28),R28=0),"",IF(R28&lt;0.1,1,IF(R28&lt;1,2,IF(R28&lt;10,3,IF(R28&lt;50,4,IF(R28&gt;=50,5,""))))))</f>
        <v>3</v>
      </c>
      <c r="T28" s="485" t="n">
        <f aca="false">IF(ISERROR(S28*J28),0,S28*J28)</f>
        <v>30</v>
      </c>
      <c r="U28" s="485" t="n">
        <f aca="false">IF(ISERROR(S28*J28*K28),0,S28*J28*K28)</f>
        <v>30</v>
      </c>
      <c r="V28" s="501" t="n">
        <f aca="false">IF(ISERROR(S28*K28),0,S28*K28)</f>
        <v>3</v>
      </c>
      <c r="W28" s="502"/>
      <c r="X28" s="503"/>
      <c r="Y28" s="488" t="str">
        <f aca="false">IF(AND(ISNUMBER(F28),OR(A28="",A28="!!!!!!")),"!!!!!!",IF(A28="new.cod","NEWCOD",IF(AND((Z28=""),ISTEXT(A28),A28&lt;&gt;"!!!!!!"),A28,IF(Z28="","",INDEX('liste reference'!$A$6:$A$1174,Z28)))))</f>
        <v>FONANT</v>
      </c>
      <c r="Z28" s="470" t="n">
        <f aca="false">IF(ISERROR(MATCH(A28,'liste reference'!$A$6:$A$1174,0)),IF(ISERROR(MATCH(A28,'liste reference'!$B$6:$B$1174,0)),"",(MATCH(A28,'liste reference'!$B$6:$B$1174,0))),(MATCH(A28,'liste reference'!$A$6:$A$1174,0)))</f>
        <v>273</v>
      </c>
    </row>
    <row r="29" customFormat="false" ht="12.75" hidden="false" customHeight="false" outlineLevel="0" collapsed="false">
      <c r="A29" s="489" t="s">
        <v>974</v>
      </c>
      <c r="B29" s="490" t="n">
        <v>0.5</v>
      </c>
      <c r="C29" s="491" t="n">
        <v>0.05</v>
      </c>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0.104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0.104</v>
      </c>
      <c r="S29" s="485" t="n">
        <f aca="false">IF(OR(ISTEXT(H29),R29=0),"",IF(R29&lt;0.1,1,IF(R29&lt;1,2,IF(R29&lt;10,3,IF(R29&lt;50,4,IF(R29&gt;=50,5,""))))))</f>
        <v>2</v>
      </c>
      <c r="T29" s="485" t="n">
        <f aca="false">IF(ISERROR(S29*J29),0,S29*J29)</f>
        <v>10</v>
      </c>
      <c r="U29" s="485" t="n">
        <f aca="false">IF(ISERROR(S29*J29*K29),0,S29*J29*K29)</f>
        <v>20</v>
      </c>
      <c r="V29" s="501" t="n">
        <f aca="false">IF(ISERROR(S29*K29),0,S29*K29)</f>
        <v>4</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1122</v>
      </c>
      <c r="B30" s="490" t="n">
        <v>0.1</v>
      </c>
      <c r="C30" s="491"/>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0.012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0.012</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1932</v>
      </c>
      <c r="B31" s="490"/>
      <c r="C31" s="491" t="n">
        <v>0.05</v>
      </c>
      <c r="D31" s="492" t="str">
        <f aca="false">IF(ISERROR(VLOOKUP($A31,'liste reference'!$A$6:$B$1174,2,0)),IF(ISERROR(VLOOKUP($A31,'liste reference'!$B$6:$B$1174,1,0)),"",VLOOKUP($A31,'liste reference'!$B$6:$B$1174,1,0)),VLOOKUP($A31,'liste reference'!$A$6:$B$1174,2,0))</f>
        <v>Agrostis stolonifera</v>
      </c>
      <c r="E31" s="493" t="e">
        <f aca="false">IF(D31="",0,VLOOKUP(D31,D$22:D30,1,0))</f>
        <v>#N/A</v>
      </c>
      <c r="F31" s="494" t="n">
        <f aca="false">IF(AND(OR(A31="",A31="!!!!!!"),B31="",C31=""),"",IF(OR(AND(B31="",C31=""),ISERROR(C31+B31)),"!!!",($B31*$B$7+$C31*$C$7)/100))</f>
        <v>0.044</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Agrostis stolonifera</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1543</v>
      </c>
      <c r="R31" s="484" t="n">
        <f aca="false">IF(ISTEXT(H31),"",(B31*$B$7/100)+(C31*$C$7/100))</f>
        <v>0.044</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AGRSTO</v>
      </c>
      <c r="Z31" s="470" t="n">
        <f aca="false">IF(ISERROR(MATCH(A31,'liste reference'!$A$6:$A$1174,0)),IF(ISERROR(MATCH(A31,'liste reference'!$B$6:$B$1174,0)),"",(MATCH(A31,'liste reference'!$B$6:$B$1174,0))),(MATCH(A31,'liste reference'!$A$6:$A$1174,0)))</f>
        <v>623</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1.604</v>
      </c>
      <c r="G83" s="424"/>
      <c r="H83" s="424"/>
      <c r="I83" s="424"/>
      <c r="J83" s="424"/>
      <c r="K83" s="424"/>
      <c r="L83" s="424"/>
      <c r="M83" s="485"/>
      <c r="N83" s="485"/>
      <c r="O83" s="485"/>
      <c r="P83" s="485"/>
      <c r="Q83" s="485"/>
      <c r="R83" s="485"/>
      <c r="S83" s="485"/>
      <c r="T83" s="485"/>
      <c r="U83" s="485"/>
      <c r="V83" s="485" t="n">
        <f aca="false">SUM(V23:V82)</f>
        <v>16</v>
      </c>
      <c r="W83" s="485"/>
      <c r="X83" s="523"/>
      <c r="Y83" s="523"/>
      <c r="Z83" s="524"/>
    </row>
    <row r="84" customFormat="false" ht="12.75" hidden="true" customHeight="false" outlineLevel="0" collapsed="false">
      <c r="A84" s="518" t="str">
        <f aca="false">A3</f>
        <v>L'ARRAT DE DEVANT</v>
      </c>
      <c r="B84" s="453" t="str">
        <f aca="false">C3</f>
        <v>L'ARRATS A MANENT-MONTANE</v>
      </c>
      <c r="C84" s="525" t="str">
        <f aca="false">A4</f>
        <v>(Date)</v>
      </c>
      <c r="D84" s="526" t="n">
        <f aca="false">IF(OR(ISERROR(SUM($U$23:$U$82)/SUM($V$23:$V$82)),F7&lt;&gt;100),-1,SUM($U$23:$U$82)/SUM($V$23:$V$82))</f>
        <v>9.25</v>
      </c>
      <c r="E84" s="527" t="n">
        <f aca="false">O13</f>
        <v>9</v>
      </c>
      <c r="F84" s="453" t="n">
        <f aca="false">O14</f>
        <v>8</v>
      </c>
      <c r="G84" s="453" t="n">
        <f aca="false">O15</f>
        <v>5</v>
      </c>
      <c r="H84" s="453" t="n">
        <f aca="false">O16</f>
        <v>3</v>
      </c>
      <c r="I84" s="453" t="n">
        <f aca="false">O17</f>
        <v>0</v>
      </c>
      <c r="J84" s="528" t="n">
        <f aca="false">O8</f>
        <v>10</v>
      </c>
      <c r="K84" s="529" t="n">
        <f aca="false">O9</f>
        <v>3.04138126514911</v>
      </c>
      <c r="L84" s="530" t="n">
        <f aca="false">O10</f>
        <v>5</v>
      </c>
      <c r="M84" s="530" t="n">
        <f aca="false">O11</f>
        <v>15</v>
      </c>
      <c r="N84" s="529" t="n">
        <f aca="false">P8</f>
        <v>1.375</v>
      </c>
      <c r="O84" s="529" t="n">
        <f aca="false">P9</f>
        <v>0.484122918275927</v>
      </c>
      <c r="P84" s="530" t="n">
        <f aca="false">P10</f>
        <v>1</v>
      </c>
      <c r="Q84" s="530" t="n">
        <f aca="false">P11</f>
        <v>2</v>
      </c>
      <c r="R84" s="530" t="n">
        <f aca="false">F21</f>
        <v>1.604</v>
      </c>
      <c r="S84" s="530" t="n">
        <f aca="false">L11</f>
        <v>0</v>
      </c>
      <c r="T84" s="530" t="n">
        <f aca="false">L12</f>
        <v>3</v>
      </c>
      <c r="U84" s="530" t="n">
        <f aca="false">L13</f>
        <v>5</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10</v>
      </c>
      <c r="U87" s="281"/>
      <c r="V87" s="281"/>
    </row>
    <row r="88" customFormat="false" ht="12.75" hidden="true" customHeight="false" outlineLevel="0" collapsed="false">
      <c r="C88" s="534"/>
      <c r="D88" s="534"/>
      <c r="E88" s="534"/>
      <c r="R88" s="281" t="s">
        <v>3453</v>
      </c>
      <c r="S88" s="281"/>
      <c r="T88" s="536" t="n">
        <f aca="false">VLOOKUP($T$91,($A$23:$U$82),21,0)</f>
        <v>20</v>
      </c>
      <c r="U88" s="281"/>
      <c r="V88" s="281" t="n">
        <f aca="false">COUNTIF(V23:V82,T89)</f>
        <v>1</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10.6666666666667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LEORIP</v>
      </c>
      <c r="U91" s="281" t="n">
        <f aca="false">IF(ISERROR(MATCH($T$93,'liste reference'!$A$6:$A$1174,0)),MATCH($T$93,'liste reference'!$B$6:$B$1174,0),(MATCH($T$93,'liste reference'!$A$6:$A$1174,0)))</f>
        <v>298</v>
      </c>
      <c r="V91" s="538"/>
    </row>
    <row r="92" customFormat="false" ht="12.75" hidden="true" customHeight="false" outlineLevel="0" collapsed="false">
      <c r="C92" s="534"/>
      <c r="D92" s="534"/>
      <c r="E92" s="534"/>
      <c r="R92" s="281" t="s">
        <v>3457</v>
      </c>
      <c r="S92" s="281"/>
      <c r="T92" s="281" t="n">
        <f aca="false">MATCH(T89,$V$23:$V$82,0)</f>
        <v>7</v>
      </c>
      <c r="U92" s="281"/>
    </row>
    <row r="93" customFormat="false" ht="12.75" hidden="true" customHeight="false" outlineLevel="0" collapsed="false">
      <c r="C93" s="534"/>
      <c r="D93" s="534"/>
      <c r="E93" s="534"/>
      <c r="R93" s="485" t="s">
        <v>3458</v>
      </c>
      <c r="S93" s="281"/>
      <c r="T93" s="485" t="str">
        <f aca="false">INDEX($A$23:$A$82,$T$92)</f>
        <v>LEORIP</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2017-03-08T18:00:14Z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