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5118893" sheetId="6" state="visible" r:id="rId8"/>
    <sheet name="jgjg" sheetId="7" state="hidden" r:id="rId9"/>
    <sheet name="liste codes réf" sheetId="8" state="hidden" r:id="rId10"/>
  </sheets>
  <definedNames>
    <definedName function="false" hidden="false" localSheetId="5" name="_xlnm.Print_Area" vbProcedure="false">'05118893'!$A$1:$Q$82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'05118893'!$A$1:$Q$82</definedName>
    <definedName function="false" hidden="false" localSheetId="5" name="_xlnm__FilterDatabase" vbProcedure="false">'05118893'!$A$1:$C$1415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<sst xmlns="http://schemas.openxmlformats.org/spreadsheetml/2006/main" count="8830" uniqueCount="3497">
  <si>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</si>
  <si>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</si>
  <si>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</si>
  <si>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</si>
  <si>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</si>
  <si>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</si>
  <si>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</si>
  <si>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</si>
  <si>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</si>
  <si>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</si>
  <si>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</si>
  <si>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</si>
  <si>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</si>
  <si>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</si>
  <si>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</si>
  <si>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</si>
  <si>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</si>
  <si>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</si>
  <si>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</si>
  <si>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</si>
  <si>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</si>
  <si>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</si>
  <si>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</si>
  <si>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</si>
  <si>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</si>
  <si>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</si>
  <si>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</si>
  <si>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</si>
  <si>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</si>
  <si>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</si>
  <si>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</si>
  <si>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</si>
  <si>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</si>
  <si>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</si>
  <si>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</si>
  <si>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</si>
  <si>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</si>
  <si>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</si>
  <si>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</si>
  <si>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</si>
  <si>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</si>
  <si>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</si>
  <si>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</si>
  <si>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</si>
  <si>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</si>
  <si>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</si>
  <si>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</si>
  <si>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</si>
  <si>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</si>
  <si>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</si>
  <si>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</si>
  <si>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</si>
  <si>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</si>
  <si>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</si>
  <si>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</si>
  <si>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</si>
  <si>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</si>
  <si>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</si>
  <si>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</si>
  <si>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</si>
  <si>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</si>
  <si>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</si>
  <si>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</si>
  <si>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</si>
  <si>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</si>
  <si>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</si>
  <si>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</si>
  <si>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</si>
  <si>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</si>
  <si>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</si>
  <si>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</si>
  <si>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</si>
  <si>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</si>
  <si>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</si>
  <si>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</si>
  <si>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</si>
  <si>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</si>
  <si>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</si>
  <si>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</si>
  <si>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</si>
  <si>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</si>
  <si>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</si>
  <si>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</si>
  <si>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</si>
  <si>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</si>
  <si>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</si>
  <si>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</si>
  <si>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</si>
  <si>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</si>
  <si>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</si>
  <si>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</si>
  <si>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</si>
  <si>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</si>
  <si>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</si>
  <si>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</si>
  <si>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</si>
  <si>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</si>
  <si>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</si>
  <si>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</si>
  <si>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</si>
  <si>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</si>
  <si>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</si>
  <si>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</si>
  <si>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</si>
  <si>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</si>
  <si>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</si>
  <si>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</si>
  <si>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</si>
  <si>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</si>
  <si>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</si>
  <si>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</si>
  <si>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</si>
  <si>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</si>
  <si>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</si>
  <si>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</si>
  <si>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</si>
  <si>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</si>
  <si>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</si>
  <si>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</si>
  <si>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</si>
  <si>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</si>
  <si>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</si>
  <si>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</si>
  <si>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</si>
  <si>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</si>
  <si>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</si>
  <si>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</si>
  <si>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</si>
  <si>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</si>
  <si>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</si>
  <si>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</si>
  <si>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</si>
  <si>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</si>
  <si>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</si>
  <si>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</si>
  <si>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</si>
  <si>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</si>
  <si>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</si>
  <si>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</si>
  <si>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</si>
  <si>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</si>
  <si>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</si>
  <si>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</si>
  <si>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</si>
  <si>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</si>
  <si>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</si>
  <si>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</si>
  <si>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</si>
  <si>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</si>
  <si>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</si>
  <si>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</si>
  <si>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</si>
  <si>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</si>
  <si>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</si>
  <si>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</si>
  <si>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</si>
  <si>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</si>
  <si>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</si>
  <si>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</si>
  <si>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</si>
  <si>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</si>
  <si>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</si>
  <si>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</si>
  <si>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</si>
  <si>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</si>
  <si>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</si>
  <si>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</si>
  <si>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</si>
  <si>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</si>
  <si>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</si>
  <si>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</si>
  <si>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</si>
  <si>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</si>
  <si>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</si>
  <si>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</si>
  <si>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</si>
  <si>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</si>
  <si>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</si>
  <si>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</si>
  <si>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</si>
  <si>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</si>
  <si>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</si>
  <si>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</si>
  <si>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</si>
  <si>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</si>
  <si>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</si>
  <si>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</si>
  <si>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</si>
  <si>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</si>
  <si>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</si>
  <si>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</si>
  <si>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</si>
  <si>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</si>
  <si>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</si>
  <si>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</si>
  <si>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</si>
  <si>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</si>
  <si>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</si>
  <si>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</si>
  <si>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</si>
  <si>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</si>
  <si>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</si>
  <si>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</si>
  <si>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</si>
  <si>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</si>
  <si>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</si>
  <si>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</si>
  <si>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</si>
  <si>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</si>
  <si>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</si>
  <si>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</si>
  <si>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</si>
  <si>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</si>
  <si>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</si>
  <si>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</si>
  <si>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</si>
  <si>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</si>
  <si>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</si>
  <si>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</si>
  <si>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</si>
  <si>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</si>
  <si>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</si>
  <si>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</si>
  <si>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</si>
  <si>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</si>
  <si>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</si>
  <si>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</si>
  <si>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</si>
  <si>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</si>
  <si>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</si>
  <si>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</si>
  <si>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</si>
  <si>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</si>
  <si>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</si>
  <si>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</si>
  <si>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</si>
  <si>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</si>
  <si>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</si>
  <si>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</si>
  <si>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</si>
  <si>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</si>
  <si>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</si>
  <si>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</si>
  <si>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</si>
  <si>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</si>
  <si>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</si>
  <si>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</si>
  <si>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</si>
  <si>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</si>
  <si>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</si>
  <si>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</si>
  <si>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</si>
  <si>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</si>
  <si>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</si>
  <si>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</si>
  <si>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</si>
  <si>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</si>
  <si>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</si>
  <si>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</si>
  <si>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</si>
  <si>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</si>
  <si>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</si>
  <si>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</si>
  <si>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</si>
  <si>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</si>
  <si>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</si>
  <si>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</si>
  <si>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</si>
  <si>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</si>
  <si>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</si>
  <si>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</si>
  <si>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</si>
  <si>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</si>
  <si>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</si>
  <si>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</si>
  <si>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</si>
  <si>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</si>
  <si>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</si>
  <si>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</si>
  <si>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</si>
  <si>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</si>
  <si>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</si>
  <si>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</si>
  <si>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</si>
  <si>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</si>
  <si>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</si>
  <si>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</si>
  <si>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</si>
  <si>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</si>
  <si>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</si>
  <si>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</si>
  <si>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</si>
  <si>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</si>
  <si>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</si>
  <si>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</si>
  <si>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</si>
  <si>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</si>
  <si>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</si>
  <si>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</si>
  <si>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</si>
  <si>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</si>
  <si>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</si>
  <si>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</si>
  <si>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</si>
  <si>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</si>
  <si>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</si>
  <si>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</si>
  <si>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</si>
  <si>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</si>
  <si>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</si>
  <si>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</si>
  <si>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</si>
  <si>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</si>
  <si>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</si>
  <si>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</si>
  <si>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</si>
  <si>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</si>
  <si>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</si>
  <si>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</si>
  <si>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</si>
  <si>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</si>
  <si>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</si>
  <si>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</si>
  <si>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</si>
  <si>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</si>
  <si>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</si>
  <si>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</si>
  <si>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</si>
  <si>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</si>
  <si>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</si>
  <si>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</si>
  <si>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</si>
  <si>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</si>
  <si>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</si>
  <si>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</si>
  <si>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</si>
  <si>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</si>
  <si>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</si>
  <si>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</si>
  <si>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</si>
  <si>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</si>
  <si>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</si>
  <si>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</si>
  <si>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</si>
  <si>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</si>
  <si>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</si>
  <si>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</si>
  <si>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</si>
  <si>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</si>
  <si>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</si>
  <si>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</si>
  <si>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</si>
  <si>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</si>
  <si>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</si>
  <si>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</si>
  <si>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</si>
  <si>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</si>
  <si>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</si>
  <si>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</si>
  <si>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</si>
  <si>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</si>
  <si>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</si>
  <si>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</si>
  <si>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</si>
  <si>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</si>
  <si>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</si>
  <si>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</si>
  <si>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</si>
  <si>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</si>
  <si>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</si>
  <si>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</si>
  <si>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</si>
  <si>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</si>
  <si>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</si>
  <si>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</si>
  <si>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</si>
  <si>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</si>
  <si>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</si>
  <si>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</si>
  <si>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</si>
  <si>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</si>
  <si>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</si>
  <si>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</si>
  <si>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</si>
  <si>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</si>
  <si>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</si>
  <si>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</si>
  <si>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</si>
  <si>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</si>
  <si>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</si>
  <si>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</si>
  <si>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</si>
  <si>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</si>
  <si>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</si>
  <si>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</si>
  <si>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</si>
  <si>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</si>
  <si>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</si>
  <si>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</si>
  <si>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</si>
  <si>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</si>
  <si>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</si>
  <si>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</si>
  <si>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</si>
  <si>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</si>
  <si>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</si>
  <si>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</si>
  <si>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</si>
  <si>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</si>
  <si>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</si>
  <si>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</si>
  <si>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</si>
  <si>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</si>
  <si>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</si>
  <si>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</si>
  <si>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</si>
  <si>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</si>
  <si>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</si>
  <si>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</si>
  <si>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</si>
  <si>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</si>
  <si>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</si>
  <si>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</si>
  <si>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</si>
  <si>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</si>
  <si>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</si>
  <si>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</si>
  <si>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</si>
  <si>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</si>
  <si>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</si>
  <si>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</si>
  <si>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</si>
  <si>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</si>
  <si>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</si>
  <si>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</si>
  <si>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</si>
  <si>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</si>
  <si>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</si>
  <si>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</si>
  <si>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</si>
  <si>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</si>
  <si>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</si>
  <si>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</si>
  <si>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</si>
  <si>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</si>
  <si>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</si>
  <si>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</si>
  <si>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</si>
  <si>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</si>
  <si>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</si>
  <si>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</si>
  <si>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</si>
  <si>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</si>
  <si>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</si>
  <si>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</si>
  <si>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</si>
  <si>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</si>
  <si>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</si>
  <si>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</si>
  <si>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</si>
  <si>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</si>
  <si>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</si>
  <si>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</si>
  <si>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</si>
  <si>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</si>
  <si>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</si>
  <si>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</si>
  <si>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</si>
  <si>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</si>
  <si>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</si>
  <si>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</si>
  <si>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</si>
  <si>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</si>
  <si>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</si>
  <si>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</si>
  <si>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</si>
  <si>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</si>
  <si>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</si>
  <si>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</si>
  <si>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</si>
  <si>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</si>
  <si>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</si>
  <si>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</si>
  <si>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</si>
  <si>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</si>
  <si>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</si>
  <si>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</si>
  <si>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</si>
  <si>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</si>
  <si>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</si>
  <si>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</si>
  <si>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</si>
  <si>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</si>
  <si>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</si>
  <si>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</si>
  <si>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</si>
  <si>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</si>
  <si>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</si>
  <si>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</si>
  <si>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</si>
  <si>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</si>
  <si>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</si>
  <si>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</si>
  <si>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</si>
  <si>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</si>
  <si>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</si>
  <si>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</si>
  <si>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</si>
  <si>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</si>
  <si>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</si>
  <si>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</si>
  <si>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</si>
  <si>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</si>
  <si>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</si>
  <si>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</si>
  <si>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</si>
  <si>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</si>
  <si>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</si>
  <si>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</si>
  <si>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</si>
  <si>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</si>
  <si>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</si>
  <si>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</si>
  <si>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</si>
  <si>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</si>
  <si>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</si>
  <si>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</si>
  <si>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</si>
  <si>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</si>
  <si>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</si>
  <si>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</si>
  <si>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</si>
  <si>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</si>
  <si>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</si>
  <si>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</si>
  <si>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</si>
  <si>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</si>
  <si>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</si>
  <si>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</si>
  <si>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</si>
  <si>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</si>
  <si>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</si>
  <si>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</si>
  <si>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</si>
  <si>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</si>
  <si>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</si>
  <si>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</si>
  <si>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</si>
  <si>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</si>
  <si>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</si>
  <si>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</si>
  <si>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</si>
  <si>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</si>
  <si>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</si>
  <si>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</si>
  <si>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</si>
  <si>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</si>
  <si>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</si>
  <si>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</si>
  <si>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</si>
  <si>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</si>
  <si>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</si>
  <si>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</si>
  <si>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</si>
  <si>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</si>
  <si>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</si>
  <si>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</si>
  <si>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</si>
  <si>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</si>
  <si>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</si>
  <si>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</si>
  <si>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</si>
  <si>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</si>
  <si>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</si>
  <si>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</si>
  <si>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</si>
  <si>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</si>
  <si>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</si>
  <si>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</si>
  <si>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</si>
  <si>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</si>
  <si>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</si>
  <si>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</si>
  <si>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</si>
  <si>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</si>
  <si>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</si>
  <si>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</si>
  <si>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</si>
  <si>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</si>
  <si>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</si>
  <si>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</si>
  <si>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</si>
  <si>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</si>
  <si>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</si>
  <si>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</si>
  <si>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</si>
  <si>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</si>
  <si>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</si>
  <si>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</si>
  <si>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</si>
  <si>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</si>
  <si>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</si>
  <si>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</si>
  <si>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</si>
  <si>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</si>
  <si>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</si>
  <si>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</si>
  <si>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</si>
  <si>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</si>
  <si>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</si>
  <si>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</si>
  <si>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</si>
  <si>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</si>
  <si>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</si>
  <si>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</si>
  <si>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</si>
  <si>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</si>
  <si>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</si>
  <si>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</si>
  <si>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</si>
  <si>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</si>
  <si>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</si>
  <si>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</si>
  <si>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</si>
  <si>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</si>
  <si>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</si>
  <si>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</si>
  <si>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</si>
  <si>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</si>
  <si>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</si>
  <si>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</si>
  <si>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</si>
  <si>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</si>
  <si>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</si>
  <si>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</si>
  <si>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</si>
  <si>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</si>
  <si>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</si>
  <si>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</si>
  <si>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</si>
  <si>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</si>
  <si>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</si>
  <si>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</si>
  <si>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</si>
  <si>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</si>
  <si>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</si>
  <si>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</si>
  <si>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</si>
  <si>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</si>
  <si>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</si>
  <si>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</si>
  <si>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</si>
  <si>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</si>
  <si>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</si>
  <si>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</si>
  <si>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</si>
  <si>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</si>
  <si>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</si>
  <si>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</si>
  <si>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</si>
  <si>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</si>
  <si>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</si>
  <si>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</si>
  <si>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</si>
  <si>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</si>
  <si>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</si>
  <si>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</si>
  <si>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</si>
  <si>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</si>
  <si>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</si>
  <si>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</si>
  <si>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</si>
  <si>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</si>
  <si>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</si>
  <si>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</si>
  <si>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</si>
  <si>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</si>
  <si>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</si>
  <si>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</si>
  <si>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</si>
  <si>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</si>
  <si>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</si>
  <si>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</si>
  <si>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</si>
  <si>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</si>
  <si>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</si>
  <si>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</si>
  <si>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</si>
  <si>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</si>
  <si>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</si>
  <si>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</si>
  <si>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</si>
  <si>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</si>
  <si>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</si>
  <si>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</si>
  <si>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</si>
  <si>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</si>
  <si>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</si>
  <si>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</si>
  <si>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</si>
  <si>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</si>
  <si>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</si>
  <si>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</si>
  <si>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</si>
  <si>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</si>
  <si>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</si>
  <si>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</si>
  <si>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</si>
  <si>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</si>
  <si>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</si>
  <si>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</si>
  <si>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</si>
  <si>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</si>
  <si>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</si>
  <si>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</si>
  <si>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</si>
  <si>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</si>
  <si>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</si>
  <si>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</si>
  <si>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</si>
  <si>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</si>
  <si>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</si>
  <si>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</si>
  <si>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</si>
  <si>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</si>
  <si>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</si>
  <si>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</si>
  <si>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</si>
  <si>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</si>
  <si>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</si>
  <si>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</si>
  <si>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</si>
  <si>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</si>
  <si>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</si>
  <si>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</si>
  <si>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</si>
  <si>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</si>
  <si>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</si>
  <si>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</si>
  <si>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</si>
  <si>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</si>
  <si>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</si>
  <si>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</si>
  <si>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</si>
  <si>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</si>
  <si>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</si>
  <si>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</si>
  <si>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</si>
  <si>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</si>
  <si>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</si>
  <si>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</si>
  <si>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</si>
  <si>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</si>
  <si>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</si>
  <si>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</si>
  <si>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</si>
  <si>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</si>
  <si>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</si>
  <si>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</si>
  <si>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</si>
  <si>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</si>
  <si>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</si>
  <si>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</si>
  <si>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</si>
  <si>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</si>
  <si>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</si>
  <si>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</si>
  <si>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</si>
  <si>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</si>
  <si>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</si>
  <si>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</si>
  <si>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</si>
  <si>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</si>
  <si>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</si>
  <si>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</si>
  <si>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</si>
  <si>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</si>
  <si>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</si>
  <si>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</si>
  <si>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</si>
  <si>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</si>
  <si>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</si>
  <si>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</si>
  <si>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</si>
  <si>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</si>
  <si>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</si>
  <si>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</si>
  <si>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</si>
  <si>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</si>
  <si>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</si>
  <si>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</si>
  <si>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</si>
  <si>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</si>
  <si>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</si>
  <si>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</si>
  <si>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</si>
  <si>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</si>
  <si>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</si>
  <si>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</si>
  <si>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</si>
  <si>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</si>
  <si>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</si>
  <si>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</si>
  <si>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</si>
  <si>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</si>
  <si>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</si>
  <si>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</si>
  <si>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</si>
  <si>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</si>
  <si>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</si>
  <si>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</si>
  <si>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</si>
  <si>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</si>
  <si>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</si>
  <si>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</si>
  <si>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</si>
  <si>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</si>
  <si>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</si>
  <si>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</si>
  <si>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</si>
  <si>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</si>
  <si>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</si>
  <si>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</si>
  <si>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</si>
  <si>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</si>
  <si>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</si>
  <si>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</si>
  <si>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</si>
  <si>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</si>
  <si>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</si>
  <si>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</si>
  <si>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</si>
  <si>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</si>
  <si>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</si>
  <si>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</si>
  <si>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</si>
  <si>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</si>
  <si>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</si>
  <si>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</si>
  <si>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</si>
  <si>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</si>
  <si>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</si>
  <si>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</si>
  <si>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</si>
  <si>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</si>
  <si>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</si>
  <si>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</si>
  <si>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</si>
  <si>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</si>
  <si>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</si>
  <si>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</si>
  <si>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</si>
  <si>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</si>
  <si>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</si>
  <si>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</si>
  <si>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</si>
  <si>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</si>
  <si>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</si>
  <si>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</si>
  <si>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</si>
  <si>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</si>
  <si>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</si>
  <si>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</si>
  <si>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</si>
  <si>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</si>
  <si>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</si>
  <si>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</si>
  <si>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</si>
  <si>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</si>
  <si>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</si>
  <si>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</si>
  <si>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</si>
  <si>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</si>
  <si>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</si>
  <si>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</si>
  <si>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</si>
  <si>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</si>
  <si>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</si>
  <si>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</si>
  <si>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</si>
  <si>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</si>
  <si>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</si>
  <si>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</si>
  <si>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</si>
  <si>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</si>
  <si>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</si>
  <si>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</si>
  <si>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</si>
  <si>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</si>
  <si>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</si>
  <si>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</si>
  <si>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</si>
  <si>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</si>
  <si>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</si>
  <si>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</si>
  <si>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</si>
  <si>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</si>
  <si>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</si>
  <si>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</si>
  <si>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</si>
  <si>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</si>
  <si>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</si>
  <si>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</si>
  <si>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</si>
  <si>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</si>
  <si>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</si>
  <si>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</si>
  <si>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</si>
  <si>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</si>
  <si>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</si>
  <si>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</si>
  <si>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</si>
  <si>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</si>
  <si>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</si>
  <si>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</si>
  <si>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</si>
  <si>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</si>
  <si>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</si>
  <si>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</si>
  <si>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</si>
  <si>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</si>
  <si>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</si>
  <si>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</si>
  <si>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</si>
  <si>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</si>
  <si>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</si>
  <si>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</si>
  <si>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</si>
  <si>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</si>
  <si>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</si>
  <si>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</si>
  <si>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</si>
  <si>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</si>
  <si>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</si>
  <si>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</si>
  <si>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</si>
  <si>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</si>
  <si>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</si>
  <si>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</si>
  <si>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</si>
  <si>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</si>
  <si>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</si>
  <si>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</si>
  <si>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</si>
  <si>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</si>
  <si>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</si>
  <si>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</si>
  <si>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</si>
  <si>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</si>
  <si>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</si>
  <si>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</si>
  <si>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</si>
  <si>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</si>
  <si>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</si>
  <si>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</si>
  <si>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</si>
  <si>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</si>
  <si>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</si>
  <si>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</si>
  <si>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</si>
  <si>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</si>
  <si>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</si>
  <si>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</si>
  <si>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</si>
  <si>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</si>
  <si>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</si>
  <si>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</si>
  <si>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</si>
  <si>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</si>
  <si>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</si>
  <si>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</si>
  <si>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</si>
  <si>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</si>
  <si>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</si>
  <si>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</si>
  <si>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</si>
  <si>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</si>
  <si>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</si>
  <si>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</si>
  <si>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</si>
  <si>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</si>
  <si>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</si>
  <si>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</si>
  <si>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</si>
  <si>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</si>
  <si>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</si>
  <si>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</si>
  <si>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</si>
  <si>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</si>
  <si>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</si>
  <si>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</si>
  <si>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</si>
  <si>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</si>
  <si>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</si>
  <si>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</si>
  <si>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</si>
  <si>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</si>
  <si>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</si>
  <si>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</si>
  <si>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</si>
  <si>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</si>
  <si>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</si>
  <si>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</si>
  <si>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</si>
  <si>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</si>
  <si>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</si>
  <si>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</si>
  <si>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</si>
  <si>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</si>
  <si>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</si>
  <si>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</si>
  <si>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</si>
  <si>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</si>
  <si>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</si>
  <si>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</si>
  <si>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</si>
  <si>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</si>
  <si>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</si>
  <si>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</si>
  <si>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</si>
  <si>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</si>
  <si>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</si>
  <si>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</si>
  <si>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</si>
  <si>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</si>
  <si>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</si>
  <si>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</si>
  <si>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</si>
  <si>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</si>
  <si>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</si>
  <si>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</si>
  <si>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</si>
  <si>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</si>
  <si>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</si>
  <si>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</si>
  <si>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</si>
  <si>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</si>
  <si>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</si>
  <si>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</si>
  <si>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</si>
  <si>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</si>
  <si>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</si>
  <si>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</si>
  <si>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</si>
  <si>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</si>
  <si>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</si>
  <si>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</si>
  <si>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</si>
  <si>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</si>
  <si>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</si>
  <si>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</si>
  <si>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</si>
  <si>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</si>
  <si>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</si>
  <si>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</si>
  <si>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</si>
  <si>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</si>
  <si>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</si>
  <si>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</si>
  <si>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</si>
  <si>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</si>
  <si>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</si>
  <si>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</si>
  <si>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</si>
  <si>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</si>
  <si>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</si>
  <si>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</si>
  <si>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</si>
  <si>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</si>
  <si>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</si>
  <si>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</si>
  <si>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</si>
  <si>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</si>
  <si>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</si>
  <si>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</si>
  <si>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</si>
  <si>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</si>
  <si>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</si>
  <si>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</si>
  <si>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</si>
  <si>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</si>
  <si>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</si>
  <si>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</si>
  <si>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</si>
  <si>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</si>
  <si>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</si>
  <si>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</si>
  <si>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</si>
  <si>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</si>
  <si>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</si>
  <si>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</si>
  <si>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</si>
  <si>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</si>
  <si>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</si>
  <si>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</si>
  <si>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</si>
  <si>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</si>
  <si>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</si>
  <si>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</si>
  <si>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</si>
  <si>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</si>
  <si>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</si>
  <si>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</si>
  <si>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</si>
  <si>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</si>
  <si>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</si>
  <si>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</si>
  <si>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</si>
  <si>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</si>
  <si>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</si>
  <si>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</si>
  <si>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</si>
  <si>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</si>
  <si>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</si>
  <si>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</si>
  <si>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</si>
  <si>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</si>
  <si>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</si>
  <si>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</si>
  <si>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</si>
  <si>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</si>
  <si>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</si>
  <si>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</si>
  <si>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</si>
  <si>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</si>
  <si>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</si>
  <si>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</si>
  <si>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</si>
  <si>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</si>
  <si>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</si>
  <si>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</si>
  <si>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</si>
  <si>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</si>
  <si>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</si>
  <si>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</si>
  <si>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</si>
  <si>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</si>
  <si>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</si>
  <si>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</si>
  <si>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</si>
  <si>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</si>
  <si>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</si>
  <si>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</si>
  <si>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</si>
  <si>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</si>
  <si>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</si>
  <si>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</si>
  <si>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</si>
  <si>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</si>
  <si>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</si>
  <si>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</si>
  <si>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</si>
  <si>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</si>
  <si>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</si>
  <si>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</si>
  <si>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</si>
  <si>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</si>
  <si>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</si>
  <si>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</si>
  <si>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</si>
  <si>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</si>
  <si>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</si>
  <si>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</si>
  <si>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</si>
  <si>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</si>
  <si>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</si>
  <si>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</si>
  <si>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</si>
  <si>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</si>
  <si>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</si>
  <si>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</si>
  <si>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</si>
  <si>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</si>
  <si>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</si>
  <si>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</si>
  <si>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</si>
  <si>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</si>
  <si>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</si>
  <si>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</si>
  <si>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</si>
  <si>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</si>
  <si>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</si>
  <si>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</si>
  <si>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</si>
  <si>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</si>
  <si>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</si>
  <si>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</si>
  <si>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</si>
  <si>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</si>
  <si>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</si>
  <si>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</si>
  <si>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</si>
  <si>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</si>
  <si>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</si>
  <si>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</si>
  <si>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</si>
  <si>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</si>
  <si>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</si>
  <si>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</si>
  <si>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</si>
  <si>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</si>
  <si>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</si>
  <si>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</si>
  <si>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</si>
  <si>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</si>
  <si>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</si>
  <si>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</si>
  <si>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</si>
  <si>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</si>
  <si>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</si>
  <si>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</si>
  <si>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</si>
  <si>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</si>
  <si>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</si>
  <si>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</si>
  <si>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</si>
  <si>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</si>
  <si>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</si>
  <si>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</si>
  <si>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</si>
  <si>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</si>
  <si>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</si>
  <si>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</si>
  <si>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</si>
  <si>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</si>
  <si>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</si>
  <si>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</si>
  <si>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</si>
  <si>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</si>
  <si>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</si>
  <si>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</si>
  <si>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</si>
  <si>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</si>
  <si>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</si>
  <si>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</si>
  <si>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</si>
  <si>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</si>
  <si>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</si>
  <si>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</si>
  <si>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</si>
  <si>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</si>
  <si>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</si>
  <si>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</si>
  <si>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</si>
  <si>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</si>
  <si>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</si>
  <si>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</si>
  <si>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</si>
  <si>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</si>
  <si>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</si>
  <si>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</si>
  <si>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</si>
  <si>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</si>
  <si>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</si>
  <si>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</si>
  <si>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</si>
  <si>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</si>
  <si>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</si>
  <si>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</si>
  <si>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</si>
  <si>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</si>
  <si>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</si>
  <si>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</si>
  <si>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</si>
  <si>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</si>
  <si>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</si>
  <si>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</si>
  <si>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</si>
  <si>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</si>
  <si>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</si>
  <si>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</si>
  <si>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</si>
  <si>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</si>
  <si>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</si>
  <si>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</si>
  <si>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</si>
  <si>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</si>
  <si>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</si>
  <si>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</si>
  <si>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</si>
  <si>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</si>
  <si>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</si>
  <si>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</si>
  <si>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</si>
  <si>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</si>
  <si>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</si>
  <si>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</si>
  <si>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</si>
  <si>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</si>
  <si>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</si>
  <si>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</si>
  <si>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</si>
  <si>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</si>
  <si>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</si>
  <si>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</si>
  <si>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</si>
  <si>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</si>
  <si>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</si>
  <si>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</si>
  <si>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</si>
  <si>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</si>
  <si>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</si>
  <si>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</si>
  <si>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</si>
  <si>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</si>
  <si>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</si>
  <si>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</si>
  <si>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</si>
  <si>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</si>
  <si>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</si>
  <si>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</si>
  <si>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</si>
  <si>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</si>
  <si>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</si>
  <si>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</si>
  <si>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</si>
  <si>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</si>
  <si>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</si>
  <si>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</si>
  <si>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</si>
  <si>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</si>
  <si>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</si>
  <si>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</si>
  <si>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</si>
  <si>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</si>
  <si>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</si>
  <si>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</si>
  <si>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</si>
  <si>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</si>
  <si>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</si>
  <si>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</si>
  <si>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</si>
  <si>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</si>
  <si>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</si>
  <si>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</si>
  <si>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</si>
  <si>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</si>
  <si>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</si>
  <si>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</si>
  <si>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</si>
  <si>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</si>
  <si>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</si>
  <si>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</si>
  <si>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</si>
  <si>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</si>
  <si>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</si>
  <si>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</si>
  <si>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</si>
  <si>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</si>
  <si>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</si>
  <si>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</si>
  <si>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</si>
  <si>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</si>
  <si>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</si>
  <si>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</si>
  <si>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</si>
  <si>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</si>
  <si>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</si>
  <si>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</si>
  <si>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</si>
  <si>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</si>
  <si>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</si>
  <si>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</si>
  <si>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</si>
  <si>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</si>
  <si>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</si>
  <si>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</si>
  <si>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</si>
  <si>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</si>
  <si>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</si>
  <si>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</si>
  <si>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</si>
  <si>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</si>
  <si>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</si>
  <si>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</si>
  <si>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</si>
  <si>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</si>
  <si>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</si>
  <si>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</si>
  <si>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</si>
  <si>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</si>
  <si>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</si>
  <si>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</si>
  <si>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</si>
  <si>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</si>
  <si>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</si>
  <si>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</si>
  <si>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</si>
  <si>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</si>
  <si>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</si>
  <si>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</si>
  <si>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</si>
  <si>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</si>
  <si>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</si>
  <si>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</si>
  <si>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</si>
  <si>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</si>
  <si>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</si>
  <si>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</si>
  <si>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</si>
  <si>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</si>
  <si>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</si>
  <si>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</si>
  <si>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</si>
  <si>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</si>
  <si>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</si>
  <si>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</si>
  <si>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</si>
  <si>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</si>
  <si>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</si>
  <si>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</si>
  <si>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</si>
  <si>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</si>
  <si>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</si>
  <si>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</si>
  <si>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</si>
  <si>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</si>
  <si>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</si>
  <si>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</si>
  <si>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</si>
  <si>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</si>
  <si>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</si>
  <si>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</si>
  <si>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</si>
  <si>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</si>
  <si>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</si>
  <si>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</si>
  <si>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</si>
  <si>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</si>
  <si>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</si>
  <si>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</si>
  <si>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</si>
  <si>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</si>
  <si>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</si>
  <si>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</si>
  <si>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</si>
  <si>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</si>
  <si>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</si>
  <si>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</si>
  <si>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</si>
  <si>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</si>
  <si>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</si>
  <si>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</si>
  <si>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</si>
  <si>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</si>
  <si>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</si>
  <si>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</si>
  <si>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</si>
  <si>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</si>
  <si>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</si>
  <si>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</si>
  <si>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</si>
  <si>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</si>
  <si>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</si>
  <si>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</si>
  <si>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</si>
  <si>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</si>
  <si>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</si>
  <si>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</si>
  <si>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</si>
  <si>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</si>
  <si>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</si>
  <si>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</si>
  <si>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</si>
  <si>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</si>
  <si>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</si>
  <si>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</si>
  <si>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</si>
  <si>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</si>
  <si>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</si>
  <si>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</si>
  <si>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</si>
  <si>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</si>
  <si>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</si>
  <si>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</si>
  <si>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</si>
  <si>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</si>
  <si>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</si>
  <si>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</si>
  <si>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</si>
  <si>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</si>
  <si>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</si>
  <si>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</si>
  <si>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</si>
  <si>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</si>
  <si>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</si>
  <si>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</si>
  <si>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</si>
  <si>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</si>
  <si>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</si>
  <si>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</si>
  <si>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</si>
  <si>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</si>
  <si>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</si>
  <si>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</si>
  <si>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</si>
  <si>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</si>
  <si>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</si>
  <si>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</si>
  <si>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</si>
  <si>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</si>
  <si>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</si>
  <si>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</si>
  <si>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</si>
  <si>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</si>
  <si>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</si>
  <si>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</si>
  <si>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</si>
  <si>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</si>
  <si>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</si>
  <si>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</si>
  <si>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</si>
  <si>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</si>
  <si>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</si>
  <si>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</si>
  <si>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</si>
  <si>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</si>
  <si>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</si>
  <si>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</si>
  <si>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</si>
  <si>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</si>
  <si>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</si>
  <si>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</si>
  <si>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</si>
  <si>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</si>
  <si>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</si>
  <si>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</si>
  <si>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</si>
  <si>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</si>
  <si>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</si>
  <si>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</si>
  <si>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</si>
  <si>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</si>
  <si>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</si>
  <si>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</si>
  <si>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</si>
  <si>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</si>
  <si>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</si>
  <si>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</si>
  <si>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</si>
  <si>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</si>
  <si>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</si>
  <si>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</si>
  <si>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</si>
  <si>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</si>
  <si>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</si>
  <si>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</si>
  <si>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</si>
  <si>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</si>
  <si>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</si>
  <si>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</si>
  <si>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</si>
  <si>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</si>
  <si>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</si>
  <si>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</si>
  <si>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</si>
  <si>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</si>
  <si>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</si>
  <si>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</si>
  <si>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</si>
  <si>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</si>
  <si>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</si>
  <si>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</si>
  <si>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</si>
  <si>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</si>
  <si>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</si>
  <si>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</si>
  <si>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</si>
  <si>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</si>
  <si>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</si>
  <si>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</si>
  <si>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</si>
  <si>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</si>
  <si>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</si>
  <si>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</si>
  <si>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</si>
  <si>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</si>
  <si>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</si>
  <si>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</si>
  <si>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</si>
  <si>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</si>
  <si>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</si>
  <si>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</si>
  <si>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</si>
  <si>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</si>
  <si>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</si>
  <si>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</si>
  <si>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</si>
  <si>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</si>
  <si>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</si>
  <si>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</si>
  <si>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</si>
  <si>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</si>
  <si>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</si>
  <si>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</si>
  <si>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</si>
  <si>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</si>
  <si>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</si>
  <si>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</si>
  <si>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</si>
  <si>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</si>
  <si>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</si>
  <si>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</si>
  <si>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</si>
  <si>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</si>
  <si>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</si>
  <si>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</si>
  <si>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</si>
  <si>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</si>
  <si>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</si>
  <si>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</si>
  <si>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</si>
  <si>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</si>
  <si>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</si>
  <si>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</si>
  <si>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</si>
  <si>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</si>
  <si>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</si>
  <si>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</si>
  <si>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</si>
  <si>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</si>
  <si>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</si>
  <si>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</si>
  <si>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</si>
  <si>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</si>
  <si>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</si>
  <si>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</si>
  <si>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</si>
  <si>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</si>
  <si>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</si>
  <si>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</si>
  <si>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</si>
  <si>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</si>
  <si>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</si>
  <si>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</si>
  <si>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</si>
  <si>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</si>
  <si>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</si>
  <si>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</si>
  <si>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</si>
  <si>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</si>
  <si>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</si>
  <si>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</si>
  <si>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</si>
  <si>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</si>
  <si>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</si>
  <si>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</si>
  <si>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</si>
  <si>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</si>
  <si>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</si>
  <si>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</si>
  <si>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</si>
  <si>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</si>
  <si>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</si>
  <si>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</si>
  <si>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</si>
  <si>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</si>
  <si>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</si>
  <si>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</si>
  <si>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</si>
  <si>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</si>
  <si>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</si>
  <si>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</si>
  <si>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</si>
  <si>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</si>
  <si>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</si>
  <si>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</si>
  <si>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</si>
  <si>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</si>
  <si>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</si>
  <si>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</si>
  <si>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</si>
  <si>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</si>
  <si>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</si>
  <si>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</si>
  <si>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</si>
  <si>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</si>
  <si>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</si>
  <si>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</si>
  <si>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</si>
  <si>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</si>
  <si>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</si>
  <si>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</si>
  <si>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</si>
  <si>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</si>
  <si>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</si>
  <si>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</si>
  <si>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</si>
  <si>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</si>
  <si>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</si>
  <si>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</si>
  <si>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</si>
  <si>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</si>
  <si>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</si>
  <si>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</si>
  <si>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</si>
  <si>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</si>
  <si>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</si>
  <si>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</si>
  <si>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</si>
  <si>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</si>
  <si>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</si>
  <si>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</si>
  <si>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</si>
  <si>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</si>
  <si>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</si>
  <si>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</si>
  <si>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</si>
  <si>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</si>
  <si>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</si>
  <si>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</si>
  <si>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</si>
  <si>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</si>
  <si>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</si>
  <si>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</si>
  <si>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</si>
  <si>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</si>
  <si>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</si>
  <si>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</si>
  <si>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</si>
  <si>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</si>
  <si>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</si>
  <si>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</si>
  <si>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</si>
  <si>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</si>
  <si>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</si>
  <si>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</si>
  <si>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</si>
  <si>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</si>
  <si>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</si>
  <si>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</si>
  <si>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</si>
  <si>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</si>
  <si>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</si>
  <si>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</si>
  <si>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</si>
  <si>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</si>
  <si>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</si>
  <si>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</si>
  <si>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</si>
  <si>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</si>
  <si>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</si>
  <si>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</si>
  <si>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</si>
  <si>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</si>
  <si>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</si>
  <si>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</si>
  <si>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</si>
  <si>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</si>
  <si>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</si>
  <si>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</si>
  <si>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</si>
  <si>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</si>
  <si>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</si>
  <si>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</si>
  <si>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</si>
  <si>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</si>
  <si>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</si>
  <si>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</si>
  <si>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</si>
  <si>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</si>
  <si>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</si>
  <si>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</si>
  <si>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</si>
  <si>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</si>
  <si>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</si>
  <si>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</si>
  <si>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</si>
  <si>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</si>
  <si>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</si>
  <si>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</si>
  <si>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</si>
  <si>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</si>
  <si>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</si>
  <si>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</si>
  <si>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</si>
  <si>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</si>
  <si>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</si>
  <si>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</si>
  <si>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</si>
  <si>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</si>
  <si>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</si>
  <si>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</si>
  <si>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</si>
  <si>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</si>
  <si>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</si>
  <si>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</si>
  <si>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</si>
  <si>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</si>
  <si>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</si>
  <si>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</si>
  <si>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</si>
  <si>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</si>
  <si>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</si>
  <si>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</si>
  <si>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</si>
  <si>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</si>
  <si>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</si>
  <si>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</si>
  <si>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</si>
  <si>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</si>
  <si>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</si>
  <si>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</si>
  <si>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</si>
  <si>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</si>
  <si>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</si>
  <si>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</si>
  <si>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</si>
  <si>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</si>
  <si>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</si>
  <si>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</si>
  <si>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</si>
  <si>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</si>
  <si>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</si>
  <si>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</si>
  <si>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</si>
  <si>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</si>
  <si>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</si>
  <si>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</si>
  <si>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</si>
  <si>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</si>
  <si>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</si>
  <si>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</si>
  <si>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</si>
  <si>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</si>
  <si>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</si>
  <si>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</si>
  <si>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</si>
  <si>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</si>
  <si>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</si>
  <si>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</si>
  <si>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</si>
  <si>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</si>
  <si>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</si>
  <si>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</si>
  <si>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</si>
  <si>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</si>
  <si>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</si>
  <si>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</si>
  <si>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</si>
  <si>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</si>
  <si>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</si>
  <si>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</si>
  <si>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</si>
  <si>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</si>
  <si>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</si>
  <si>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</si>
  <si>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</si>
  <si>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</si>
  <si>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</si>
  <si>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</si>
  <si>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</si>
  <si>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</si>
  <si>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</si>
  <si>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</si>
  <si>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</si>
  <si>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</si>
  <si>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</si>
  <si>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</si>
  <si>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</si>
  <si>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</si>
  <si>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</si>
  <si>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</si>
  <si>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</si>
  <si>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</si>
  <si>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</si>
  <si>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</si>
  <si>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</si>
  <si>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</si>
  <si>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</si>
  <si>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</si>
  <si>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</si>
  <si>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</si>
  <si>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</si>
  <si>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</si>
  <si>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</si>
  <si>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</si>
  <si>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</si>
  <si>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</si>
  <si>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</si>
  <si>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</si>
  <si>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</si>
  <si>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</si>
  <si>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</si>
  <si>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</si>
  <si>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</si>
  <si>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</si>
  <si>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</si>
  <si>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</si>
  <si>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</si>
  <si>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</si>
  <si>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</si>
  <si>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</si>
  <si>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</si>
  <si>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</si>
  <si>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</si>
  <si>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</si>
  <si>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</si>
  <si>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</si>
  <si>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</si>
  <si>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</si>
  <si>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</si>
  <si>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</si>
  <si>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</si>
  <si>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</si>
  <si>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</si>
  <si>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</si>
  <si>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</si>
  <si>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</si>
  <si>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</si>
  <si>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</si>
  <si>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</si>
  <si>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</si>
  <si>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</si>
  <si>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</si>
  <si>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</si>
  <si>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</si>
  <si>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</si>
  <si>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</si>
  <si>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</si>
  <si>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</si>
  <si>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</si>
  <si>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</si>
  <si>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</si>
  <si>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</si>
  <si>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</si>
  <si>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</si>
  <si>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</si>
  <si>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</si>
  <si>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</si>
  <si>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</si>
  <si>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</si>
  <si>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</si>
  <si>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</si>
  <si>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</si>
  <si>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</si>
  <si>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</si>
  <si>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</si>
  <si>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</si>
  <si>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</si>
  <si>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</si>
  <si>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</si>
  <si>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</si>
  <si>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</si>
  <si>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</si>
  <si>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</si>
  <si>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</si>
  <si>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</si>
  <si>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</si>
  <si>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</si>
  <si>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</si>
  <si>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</si>
  <si>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</si>
  <si>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</si>
  <si>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</si>
  <si>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</si>
  <si>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</si>
  <si>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</si>
  <si>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</si>
  <si>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</si>
  <si>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</si>
  <si>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</si>
  <si>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</si>
  <si>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</si>
  <si>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</si>
  <si>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</si>
  <si>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</si>
  <si>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</si>
  <si>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</si>
  <si>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</si>
  <si>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</si>
  <si>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</si>
  <si>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</si>
  <si>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</si>
  <si>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</si>
  <si>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</si>
  <si>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</si>
  <si>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</si>
  <si>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</si>
  <si>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</si>
  <si>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</si>
  <si>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</si>
  <si>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</si>
  <si>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</si>
  <si>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</si>
  <si>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</si>
  <si>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</si>
  <si>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</si>
  <si>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</si>
  <si>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</si>
  <si>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</si>
  <si>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</si>
  <si>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</si>
  <si>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</si>
  <si>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</si>
  <si>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</si>
  <si>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</si>
  <si>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</si>
  <si>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</si>
  <si>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</si>
  <si>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</si>
  <si>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</si>
  <si>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</si>
  <si>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</si>
  <si>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</si>
  <si>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</si>
  <si>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</si>
  <si>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</si>
  <si>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</si>
  <si>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</si>
  <si>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</si>
  <si>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</si>
  <si>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</si>
  <si>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</si>
  <si>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</si>
  <si>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</si>
  <si>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</si>
  <si>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</si>
  <si>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</si>
  <si>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</si>
  <si>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</si>
  <si>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</si>
  <si>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</si>
  <si>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</si>
  <si>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</si>
  <si>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</si>
  <si>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</si>
  <si>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</si>
  <si>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</si>
  <si>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</si>
  <si>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</si>
  <si>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</si>
  <si>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</si>
  <si>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</si>
  <si>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</si>
  <si>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</si>
  <si>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</si>
  <si>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</si>
  <si>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</si>
  <si>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</si>
  <si>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</si>
  <si>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</si>
  <si>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</si>
  <si>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</si>
  <si>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</si>
  <si>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</si>
  <si>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</si>
  <si>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</si>
  <si>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</si>
  <si>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</si>
  <si>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</si>
  <si>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</si>
  <si>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</si>
  <si>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</si>
  <si>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</si>
  <si>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</si>
  <si>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</si>
  <si>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</si>
  <si>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</si>
  <si>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</si>
  <si>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</si>
  <si>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</si>
  <si>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</si>
  <si>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</si>
  <si>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</si>
  <si>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</si>
  <si>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</si>
  <si>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</si>
  <si>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</si>
  <si>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</si>
  <si>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</si>
  <si>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</si>
  <si>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</si>
  <si>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</si>
  <si>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</si>
  <si>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</si>
  <si>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</si>
  <si>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</si>
  <si>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</si>
  <si>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</si>
  <si>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</si>
  <si>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</si>
  <si>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</si>
  <si>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</si>
  <si>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</si>
  <si>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</si>
  <si>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</si>
  <si>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</si>
  <si>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</si>
  <si>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</si>
  <si>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</si>
  <si>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</si>
  <si>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</si>
  <si>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</si>
  <si>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</si>
  <si>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</si>
  <si>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</si>
  <si>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</si>
  <si>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</si>
  <si>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</si>
  <si>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</si>
  <si>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</si>
  <si>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</si>
  <si>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</si>
  <si>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</si>
  <si>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</si>
  <si>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</si>
  <si>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</si>
  <si>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</si>
  <si>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</si>
  <si>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</si>
  <si>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</si>
  <si>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</si>
  <si>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</si>
  <si>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</si>
  <si>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</si>
  <si>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</si>
  <si>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</si>
  <si>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</si>
  <si>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</si>
  <si>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</si>
  <si>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</si>
  <si>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</si>
  <si>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</si>
  <si>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</si>
  <si>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</si>
  <si>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</si>
  <si>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</si>
  <si>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</si>
  <si>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</si>
  <si>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</si>
  <si>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</si>
  <si>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</si>
  <si>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</si>
  <si>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</si>
  <si>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</si>
  <si>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</si>
  <si>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</si>
  <si>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</si>
  <si>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</si>
  <si>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</si>
  <si>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</si>
  <si>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</si>
  <si>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</si>
  <si>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</si>
  <si>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</si>
  <si>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</si>
  <si>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</si>
  <si>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</si>
  <si>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</si>
  <si>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</si>
  <si>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</si>
  <si>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</si>
  <si>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</si>
  <si>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</si>
  <si>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</si>
  <si>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</si>
  <si>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</si>
  <si>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</si>
  <si>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</si>
  <si>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</si>
  <si>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</si>
  <si>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</si>
  <si>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</si>
  <si>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</si>
  <si>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</si>
  <si>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</si>
  <si>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</si>
  <si>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</si>
  <si>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</si>
  <si>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</si>
  <si>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</si>
  <si>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</si>
  <si>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</si>
  <si>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</si>
  <si>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</si>
  <si>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</si>
  <si>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</si>
  <si>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</si>
  <si>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</si>
  <si>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</si>
  <si>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</si>
  <si>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</si>
  <si>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</si>
  <si>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</si>
  <si>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</si>
  <si>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</si>
  <si>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</si>
  <si>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</si>
  <si>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</si>
  <si>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</si>
  <si>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</si>
  <si>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</si>
  <si>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</si>
  <si>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</si>
  <si>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</si>
  <si>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</si>
  <si>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</si>
  <si>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</si>
  <si>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</si>
  <si>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</si>
  <si>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</si>
  <si>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</si>
  <si>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</si>
  <si>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</si>
  <si>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</si>
  <si>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</si>
  <si>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</si>
  <si>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</si>
  <si>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</si>
  <si>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</si>
  <si>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</si>
  <si>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</si>
  <si>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</si>
  <si>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</si>
  <si>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</si>
  <si>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</si>
  <si>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</si>
  <si>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</si>
  <si>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</si>
  <si>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</si>
  <si>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</si>
  <si>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</si>
  <si>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</si>
  <si>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</si>
  <si>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</si>
  <si>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</si>
  <si>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</si>
  <si>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</si>
  <si>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</si>
  <si>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</si>
  <si>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</si>
  <si>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</si>
  <si>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</si>
  <si>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</si>
  <si>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</si>
  <si>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</si>
  <si>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</si>
  <si>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</si>
  <si>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</si>
  <si>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</si>
  <si>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</si>
  <si>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</si>
  <si>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</si>
  <si>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</si>
  <si>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</si>
  <si>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</si>
  <si>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</si>
  <si>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</si>
  <si>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</si>
  <si>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</si>
  <si>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</si>
  <si>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</si>
  <si>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</si>
  <si>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</si>
  <si>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</si>
  <si>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</si>
  <si>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</si>
  <si>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</si>
  <si>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</si>
  <si>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</si>
  <si>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</si>
  <si>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</si>
  <si>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</si>
  <si>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</si>
  <si>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</si>
  <si>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</si>
  <si>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</si>
  <si>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</si>
  <si>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</si>
  <si>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</si>
  <si>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</si>
  <si>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</si>
  <si>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</si>
  <si>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</si>
  <si>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</si>
  <si>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</si>
  <si>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</si>
  <si>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</si>
  <si>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</si>
  <si>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</si>
  <si>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</si>
  <si>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</si>
  <si>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</si>
  <si>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</si>
  <si>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</si>
  <si>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</si>
  <si>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</si>
  <si>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</si>
  <si>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</si>
  <si>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</si>
  <si>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</si>
  <si>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</si>
  <si>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</si>
  <si>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</si>
  <si>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</si>
  <si>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</si>
  <si>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</si>
  <si>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</si>
  <si>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</si>
  <si>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</si>
  <si>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</si>
  <si>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</si>
  <si>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</si>
  <si>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</si>
  <si>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</si>
  <si>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</si>
  <si>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</si>
  <si>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</si>
  <si>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</si>
  <si>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</si>
  <si>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</si>
  <si>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</si>
  <si>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</si>
  <si>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</si>
  <si>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</si>
  <si>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</si>
  <si>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</si>
  <si>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</si>
  <si>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</si>
  <si>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</si>
  <si>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</si>
  <si>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</si>
  <si>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</si>
  <si>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</si>
  <si>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</si>
  <si>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</si>
  <si>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</si>
  <si>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</si>
  <si>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</si>
  <si>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</si>
  <si>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</si>
  <si>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</si>
  <si>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</si>
  <si>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</si>
  <si>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</si>
  <si>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</si>
  <si>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</si>
  <si>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</si>
  <si>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</si>
  <si>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</si>
  <si>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</si>
  <si>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</si>
  <si>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</si>
  <si>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</si>
  <si>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</si>
  <si>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</si>
  <si>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</si>
  <si>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</si>
  <si>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</si>
  <si>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</si>
  <si>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</si>
  <si>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</si>
  <si>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</si>
  <si>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</si>
  <si>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</si>
  <si>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</si>
  <si>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</si>
  <si>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</si>
  <si>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</si>
  <si>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</si>
  <si>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</si>
  <si>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</si>
  <si>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</si>
  <si>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</si>
  <si>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</si>
  <si>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</si>
  <si>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</si>
  <si>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</si>
  <si>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</si>
  <si>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</si>
  <si>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</si>
  <si>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</si>
  <si>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</si>
  <si>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</si>
  <si>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</si>
  <si>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</si>
  <si>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</si>
  <si>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</si>
  <si>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</si>
  <si>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</si>
  <si>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</si>
  <si>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</si>
  <si>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</si>
  <si>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</si>
  <si>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</si>
  <si>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</si>
  <si>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</si>
  <si>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</si>
  <si>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</si>
  <si>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</si>
  <si>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</si>
  <si>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</si>
  <si>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</si>
  <si>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</si>
  <si>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</si>
  <si>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</si>
  <si>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</si>
  <si>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</si>
  <si>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</si>
  <si>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</si>
  <si>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</si>
  <si>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</si>
  <si>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</si>
  <si>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</si>
  <si>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</si>
  <si>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</si>
  <si>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</si>
  <si>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</si>
  <si>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</si>
  <si>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</si>
  <si>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</si>
  <si>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</si>
  <si>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</si>
  <si>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</si>
  <si>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</si>
  <si>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</si>
  <si>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</si>
  <si>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</si>
  <si>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</si>
  <si>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</si>
  <si>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</si>
  <si>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</si>
  <si>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</si>
  <si>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</si>
  <si>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</si>
  <si>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</si>
  <si>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</si>
  <si>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</si>
  <si>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</si>
  <si>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</si>
  <si>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</si>
  <si>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</si>
  <si>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</si>
  <si>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</si>
  <si>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</si>
  <si>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</si>
  <si>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</si>
  <si>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</si>
  <si>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</si>
  <si>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</si>
  <si>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</si>
  <si>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</si>
  <si>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</si>
  <si>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</si>
  <si>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</si>
  <si>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</si>
  <si>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</si>
  <si>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</si>
  <si>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</si>
  <si>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</si>
  <si>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</si>
  <si>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</si>
  <si>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</si>
  <si>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</si>
  <si>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</si>
  <si>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</si>
  <si>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</si>
  <si>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</si>
  <si>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</si>
  <si>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</si>
  <si>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</si>
  <si>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</si>
  <si>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</si>
  <si>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</si>
  <si>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</si>
  <si>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</si>
  <si>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</si>
  <si>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</si>
  <si>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</si>
  <si>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</si>
  <si>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</si>
  <si>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</si>
  <si>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</si>
  <si>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</si>
  <si>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</si>
  <si>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</si>
  <si>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</si>
  <si>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</si>
  <si>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</si>
  <si>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</si>
  <si>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</si>
  <si>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</si>
  <si>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</si>
  <si>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</si>
  <si>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</si>
  <si>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</si>
  <si>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</si>
  <si>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</si>
  <si>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</si>
  <si>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</si>
  <si>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</si>
  <si>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</si>
  <si>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</si>
  <si>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</si>
  <si>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</si>
  <si>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</si>
  <si>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</si>
  <si>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</si>
  <si>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</si>
  <si>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</si>
  <si>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</si>
  <si>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</si>
  <si>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</si>
  <si>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</si>
  <si>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</si>
  <si>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</si>
  <si>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</si>
  <si>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</si>
  <si>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</si>
  <si>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</si>
  <si>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</si>
  <si>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</si>
  <si>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</si>
  <si>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</si>
  <si>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</si>
  <si>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</si>
  <si>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</si>
  <si>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</si>
  <si>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</si>
  <si>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</si>
  <si>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</si>
  <si>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</si>
  <si>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</si>
  <si>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</si>
  <si>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</si>
  <si>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</si>
  <si>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</si>
  <si>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</si>
  <si>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</si>
  <si>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</si>
  <si>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</si>
  <si>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</si>
  <si>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</si>
  <si>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</si>
  <si>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</si>
  <si>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</si>
  <si>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</si>
  <si>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</si>
  <si>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</si>
  <si>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</si>
  <si>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</si>
  <si>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</si>
  <si>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</si>
  <si>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</si>
  <si>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</si>
  <si>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</si>
  <si>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</si>
  <si>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</si>
  <si>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</si>
  <si>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</si>
  <si>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</si>
  <si>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</si>
  <si>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</si>
  <si>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</si>
  <si>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</si>
  <si>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</si>
  <si>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</si>
  <si>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</si>
  <si>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</si>
  <si>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</si>
  <si>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</si>
  <si>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</si>
  <si>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</si>
  <si>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</si>
  <si>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</si>
  <si>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</si>
  <si>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</si>
  <si>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</si>
  <si>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</si>
  <si>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</si>
  <si>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</si>
  <si>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</si>
  <si>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</si>
  <si>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</si>
  <si>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</si>
  <si>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</si>
  <si>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</si>
  <si>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</si>
  <si>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</si>
  <si>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</si>
  <si>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</si>
  <si>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</si>
  <si>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</si>
  <si>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</si>
  <si>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</si>
  <si>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</si>
  <si>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</si>
  <si>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</si>
  <si>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</si>
  <si>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</si>
  <si>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</si>
  <si>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</si>
  <si>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</si>
  <si>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</si>
  <si>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</si>
  <si>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</si>
  <si>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</si>
  <si>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</si>
  <si>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</si>
  <si>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</si>
  <si>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</si>
  <si>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</si>
  <si>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</si>
  <si>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</si>
  <si>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</si>
  <si>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</si>
  <si>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</si>
  <si>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</si>
  <si>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</si>
  <si>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</si>
  <si>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</si>
  <si>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</si>
  <si>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</si>
  <si>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</si>
  <si>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</si>
  <si>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</si>
  <si>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</si>
  <si>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</si>
  <si>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</si>
  <si>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</si>
  <si>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</si>
  <si>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</si>
  <si>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</si>
  <si>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</si>
  <si>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</si>
  <si>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</si>
  <si>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</si>
  <si>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</si>
  <si>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</si>
  <si>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</si>
  <si>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</si>
  <si>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</si>
  <si>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</si>
  <si>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</si>
  <si>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</si>
  <si>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</si>
  <si>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</si>
  <si>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</si>
  <si>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</si>
  <si>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</si>
  <si>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</si>
  <si>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</si>
  <si>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</si>
  <si>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</si>
  <si>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</si>
  <si>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</si>
  <si>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</si>
  <si>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</si>
  <si>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</si>
  <si>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</si>
  <si>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</si>
  <si>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</si>
  <si>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</si>
  <si>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</si>
  <si>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</si>
  <si>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</si>
  <si>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</si>
  <si>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</si>
  <si>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</si>
  <si>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</si>
  <si>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</si>
  <si>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</si>
  <si>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</si>
  <si>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</si>
  <si>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</si>
  <si>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</si>
  <si>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</si>
  <si>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</si>
  <si>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</si>
  <si>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</si>
  <si>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</si>
  <si>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</si>
  <si>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</si>
  <si>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</si>
  <si>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</si>
  <si>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</si>
  <si>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</si>
  <si>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</si>
  <si>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</si>
  <si>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</si>
  <si>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</si>
  <si>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</si>
  <si>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</si>
  <si>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</si>
  <si>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</si>
  <si>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</si>
  <si>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</si>
  <si>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</si>
  <si>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</si>
  <si>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</si>
  <si>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</si>
  <si>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</si>
  <si>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</si>
  <si>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</si>
  <si>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</si>
  <si>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</si>
  <si>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</si>
  <si>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</si>
  <si>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</si>
  <si>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</si>
  <si>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</si>
  <si>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</si>
  <si>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</si>
  <si>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</si>
  <si>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</si>
  <si>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</si>
  <si>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</si>
  <si>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</si>
  <si>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</si>
  <si>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</si>
  <si>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</si>
  <si>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</si>
  <si>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</si>
  <si>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</si>
  <si>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</si>
  <si>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</si>
  <si>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</si>
  <si>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</si>
  <si>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</si>
  <si>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</si>
  <si>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</si>
  <si>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</si>
  <si>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</si>
  <si>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</si>
  <si>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</si>
  <si>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</si>
  <si>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</si>
  <si>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</si>
  <si>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</si>
  <si>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</si>
  <si>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</si>
  <si>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</si>
  <si>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</si>
  <si>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</si>
  <si>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</si>
  <si>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</si>
  <si>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</si>
  <si>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</si>
  <si>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</si>
  <si>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</si>
  <si>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</si>
  <si>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</si>
  <si>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</si>
  <si>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</si>
  <si>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</si>
  <si>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</si>
  <si>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</si>
  <si>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</si>
  <si>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</si>
  <si>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</si>
  <si>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</si>
  <si>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</si>
  <si>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</si>
  <si>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</si>
  <si>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</si>
  <si>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</si>
  <si>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</si>
  <si>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</si>
  <si>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</si>
  <si>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</si>
  <si>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</si>
  <si>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</si>
  <si>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</si>
  <si>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</si>
  <si>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</si>
  <si>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</si>
  <si>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</si>
  <si>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</si>
  <si>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</si>
  <si>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</si>
  <si>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</si>
  <si>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</si>
  <si>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</si>
  <si>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</si>
  <si>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</si>
  <si>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</si>
  <si>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</si>
  <si>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</si>
  <si>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</si>
  <si>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</si>
  <si>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</si>
  <si>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</si>
  <si>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</si>
  <si>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</si>
  <si>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</si>
  <si>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</si>
  <si>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</si>
  <si>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</si>
  <si>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</si>
  <si>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</si>
  <si>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</si>
  <si>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</si>
  <si>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</si>
  <si>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</si>
  <si>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</si>
  <si>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</si>
  <si>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</si>
  <si>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</si>
  <si>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</si>
  <si>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</si>
  <si>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</si>
  <si>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</si>
  <si>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</si>
  <si>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</si>
  <si>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</si>
  <si>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</si>
  <si>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</si>
  <si>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</si>
  <si>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</si>
  <si>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</si>
  <si>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</si>
  <si>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</si>
  <si>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</si>
  <si>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</si>
  <si>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</si>
  <si>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</si>
  <si>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</si>
  <si>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</si>
  <si>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</si>
  <si>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</si>
  <si>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</si>
  <si>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</si>
  <si>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</si>
  <si>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</si>
  <si>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</si>
  <si>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</si>
  <si>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</si>
  <si>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</si>
  <si>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</si>
  <si>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</si>
  <si>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</si>
  <si>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</si>
  <si>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</si>
  <si>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</si>
  <si>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</si>
  <si>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</si>
  <si>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</si>
  <si>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</si>
  <si>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</si>
  <si>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</si>
  <si>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</si>
  <si>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</si>
  <si>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</si>
  <si>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</si>
  <si>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</si>
  <si>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</si>
  <si>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</si>
  <si>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</si>
  <si>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</si>
  <si>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</si>
  <si>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</si>
  <si>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</si>
  <si>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</si>
  <si>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</si>
  <si>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</si>
  <si>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</si>
  <si>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</si>
  <si>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</si>
  <si>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</si>
  <si>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</si>
  <si>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</si>
  <si>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</si>
  <si>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</si>
  <si>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</si>
  <si>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</si>
  <si>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</si>
  <si>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</si>
  <si>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</si>
  <si>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</si>
  <si>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</si>
  <si>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</si>
  <si>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</si>
  <si>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</si>
  <si>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</si>
  <si>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</si>
  <si>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</si>
  <si>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</si>
  <si>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</si>
  <si>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</si>
  <si>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</si>
  <si>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</si>
  <si>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</si>
  <si>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</si>
  <si>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</si>
  <si>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</si>
  <si>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</si>
  <si>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</si>
  <si>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</si>
  <si>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</si>
  <si>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</si>
  <si>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</si>
  <si>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</si>
  <si>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</si>
  <si>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</si>
  <si>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</si>
  <si>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</si>
  <si>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</si>
  <si>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</si>
  <si>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</si>
  <si>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</si>
  <si>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</si>
  <si>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</si>
  <si>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</si>
  <si>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</si>
  <si>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</si>
  <si>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</si>
  <si>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</si>
  <si>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</si>
  <si>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</si>
  <si>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</si>
  <si>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</si>
  <si>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</si>
  <si>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</si>
  <si>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</si>
  <si>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</si>
  <si>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</si>
  <si>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</si>
  <si>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</si>
  <si>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</si>
  <si>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</si>
  <si>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</si>
  <si>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</si>
  <si>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</si>
  <si>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</si>
  <si>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</si>
  <si>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</si>
  <si>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</si>
  <si>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</si>
  <si>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</si>
  <si>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</si>
  <si>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</si>
  <si>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</si>
  <si>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</si>
  <si>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</si>
  <si>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</si>
  <si>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</si>
  <si>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</si>
  <si>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</si>
  <si>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</si>
  <si>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</si>
  <si>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</si>
  <si>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</si>
  <si>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</si>
  <si>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</si>
  <si>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</si>
  <si>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</si>
  <si>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</si>
  <si>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</si>
  <si>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</si>
  <si>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</si>
  <si>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</si>
  <si>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</si>
  <si>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</si>
  <si>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</si>
  <si>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</si>
  <si>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</si>
  <si>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</si>
  <si>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</si>
  <si>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</si>
  <si>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</si>
  <si>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</si>
  <si>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</si>
  <si>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</si>
  <si>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</si>
  <si>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</si>
  <si>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</si>
  <si>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</si>
  <si>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</si>
  <si>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</si>
  <si>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</si>
  <si>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</si>
  <si>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</si>
  <si>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</si>
  <si>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</si>
  <si>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</si>
  <si>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</si>
  <si>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</si>
  <si>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</si>
  <si>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</si>
  <si>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</si>
  <si>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</si>
  <si>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</si>
  <si>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</si>
  <si>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</si>
  <si>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</si>
  <si>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</si>
  <si>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</si>
  <si>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</si>
  <si>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</si>
  <si>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</si>
  <si>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</si>
  <si>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</si>
  <si>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</si>
  <si>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</si>
  <si>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</si>
  <si>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</si>
  <si>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</si>
  <si>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</si>
  <si>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</si>
  <si>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</si>
  <si>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</si>
  <si>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</si>
  <si>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</si>
  <si>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</si>
  <si>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</si>
  <si>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</si>
  <si>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</si>
  <si>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</si>
  <si>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</si>
  <si>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</si>
  <si>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</si>
  <si>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</si>
  <si>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</si>
  <si>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</si>
  <si>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</si>
  <si>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</si>
  <si>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</si>
  <si>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</si>
  <si>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</si>
  <si>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</si>
  <si>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</si>
  <si>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</si>
  <si>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</si>
  <si>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</si>
  <si>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</si>
  <si>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</si>
  <si>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</si>
  <si>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</si>
  <si>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</si>
  <si>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</si>
  <si>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</si>
  <si>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</si>
  <si>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</si>
  <si>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</si>
  <si>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</si>
  <si>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</si>
  <si>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</si>
  <si>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</si>
  <si>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</si>
  <si>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</si>
  <si>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</si>
  <si>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</si>
  <si>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</si>
  <si>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</si>
  <si>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</si>
  <si>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</si>
  <si>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</si>
  <si>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</si>
  <si>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</si>
  <si>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</si>
  <si>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</si>
  <si>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</si>
  <si>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</si>
  <si>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</si>
  <si>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</si>
  <si>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</si>
  <si>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</si>
  <si>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</si>
  <si>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</si>
  <si>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</si>
  <si>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</si>
  <si>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</si>
  <si>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</si>
  <si>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</si>
  <si>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</si>
  <si>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</si>
  <si>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</si>
  <si>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</si>
  <si>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</si>
  <si>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</si>
  <si>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</si>
  <si>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</si>
  <si>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</si>
  <si>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</si>
  <si>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</si>
  <si>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</si>
  <si>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</si>
  <si>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</si>
  <si>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</si>
  <si>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</si>
  <si>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</si>
  <si>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</si>
  <si>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</si>
  <si>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</si>
  <si>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</si>
  <si>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</si>
  <si>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</si>
  <si>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</si>
  <si>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</si>
  <si>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</si>
  <si>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</si>
  <si>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</si>
  <si>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</si>
  <si>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</si>
  <si>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</si>
  <si>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</si>
  <si>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</si>
  <si>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</si>
  <si>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</si>
  <si>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</si>
  <si>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</si>
  <si>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</si>
  <si>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</si>
  <si>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</si>
  <si>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</si>
  <si>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</si>
  <si>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</si>
  <si>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</si>
  <si>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</si>
  <si>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</si>
  <si>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</si>
  <si>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</si>
  <si>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</si>
  <si>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</si>
  <si>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</si>
  <si>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</si>
  <si>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</si>
  <si>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</si>
  <si>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</si>
  <si>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</si>
  <si>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</si>
  <si>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</si>
  <si>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</si>
  <si>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</si>
  <si>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</si>
  <si>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</si>
  <si>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</si>
  <si>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</si>
  <si>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</si>
  <si>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</si>
  <si>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</si>
  <si>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</si>
  <si>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</si>
  <si>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</si>
  <si>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</si>
  <si>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</si>
  <si>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</si>
  <si>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</si>
  <si>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</si>
  <si>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</si>
  <si>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</si>
  <si>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</si>
  <si>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</si>
  <si>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</si>
  <si>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</si>
  <si>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</si>
  <si>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</si>
  <si>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</si>
  <si>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</si>
  <si>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</si>
  <si>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</si>
  <si>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</si>
  <si>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</si>
  <si>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</si>
  <si>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</si>
  <si>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</si>
  <si>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</si>
  <si>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</si>
  <si>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</si>
  <si>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</si>
  <si>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</si>
  <si>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</si>
  <si>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</si>
  <si>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</si>
  <si>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</si>
  <si>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</si>
  <si>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</si>
  <si>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</si>
  <si>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</si>
  <si>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</si>
  <si>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</si>
  <si>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</si>
  <si>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</si>
  <si>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</si>
  <si>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</si>
  <si>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</si>
  <si>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</si>
  <si>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</si>
  <si>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</si>
  <si>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</si>
  <si>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</si>
  <si>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</si>
  <si>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</si>
  <si>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</si>
  <si>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</si>
  <si>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</si>
  <si>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</si>
  <si>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</si>
  <si>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</si>
  <si>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</si>
  <si>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</si>
  <si>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</si>
  <si>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</si>
  <si>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</si>
  <si>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</si>
  <si>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</si>
  <si>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</si>
  <si>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</si>
  <si>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</si>
  <si>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</si>
  <si>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</si>
  <si>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</si>
  <si>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</si>
  <si>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</si>
  <si>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</si>
  <si>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</si>
  <si>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</si>
  <si>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</si>
  <si>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</si>
  <si>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</si>
  <si>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</si>
  <si>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</si>
  <si>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</si>
  <si>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</si>
  <si>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</si>
  <si>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</si>
  <si>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</si>
  <si>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</si>
  <si>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</si>
  <si>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</si>
  <si>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</si>
  <si>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</si>
  <si>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</si>
  <si>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</si>
  <si>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</si>
  <si>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</si>
  <si>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</si>
  <si>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</si>
  <si>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</si>
  <si>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</si>
  <si>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</si>
  <si>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</si>
  <si>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</si>
  <si>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</si>
  <si>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</si>
  <si>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</si>
  <si>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</si>
  <si>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</si>
  <si>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</si>
  <si>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</si>
  <si>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</si>
  <si>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</si>
  <si>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</si>
  <si>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</si>
  <si>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</si>
  <si>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</si>
  <si>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</si>
  <si>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</si>
  <si>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</si>
  <si>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</si>
  <si>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</si>
  <si>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</si>
  <si>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</si>
  <si>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</si>
  <si>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</si>
  <si>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</si>
  <si>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</si>
  <si>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</si>
  <si>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</si>
  <si>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</si>
  <si>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</si>
  <si>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</si>
  <si>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</si>
  <si>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</si>
  <si>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</si>
  <si>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</si>
  <si>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</si>
  <si>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</si>
  <si>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</si>
  <si>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</si>
  <si>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</si>
  <si>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</si>
  <si>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</si>
  <si>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</si>
  <si>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</si>
  <si>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</si>
  <si>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</si>
  <si>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</si>
  <si>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</si>
  <si>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</si>
  <si>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</si>
  <si>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</si>
  <si>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</si>
  <si>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</si>
  <si>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</si>
  <si>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</si>
  <si>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</si>
  <si>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</si>
  <si>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</si>
  <si>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</si>
  <si>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</si>
  <si>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</si>
  <si>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</si>
  <si>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</si>
  <si>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</si>
  <si>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</si>
  <si>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</si>
  <si>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</si>
  <si>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</si>
  <si>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</si>
  <si>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</si>
  <si>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</si>
  <si>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</si>
  <si>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</si>
  <si>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</si>
  <si>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</si>
  <si>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</si>
  <si>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</si>
  <si>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</si>
  <si>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</si>
  <si>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</si>
  <si>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</si>
  <si>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</si>
  <si>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</si>
  <si>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</si>
  <si>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</si>
  <si>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</si>
  <si>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</si>
  <si>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</si>
  <si>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</si>
  <si>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</si>
  <si>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</si>
  <si>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</si>
  <si>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</si>
  <si>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</si>
  <si>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</si>
  <si>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</si>
  <si>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</si>
  <si>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</si>
  <si>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</si>
  <si>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</si>
  <si>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</si>
  <si>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</si>
  <si>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</si>
  <si>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</si>
  <si>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</si>
  <si>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</si>
  <si>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</si>
  <si>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</si>
  <si>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</si>
  <si>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</si>
  <si>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</si>
  <si>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</si>
  <si>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</si>
  <si>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</si>
  <si>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</si>
  <si>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</si>
  <si>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</si>
  <si>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</si>
  <si>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</si>
  <si>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</si>
  <si>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</si>
  <si>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</si>
  <si>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</si>
  <si>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</si>
  <si>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</si>
  <si>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</si>
  <si>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</si>
  <si>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</si>
  <si>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</si>
  <si>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</si>
  <si>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</si>
  <si>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</si>
  <si>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</si>
  <si>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</si>
  <si>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</si>
  <si>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</si>
  <si>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</si>
  <si>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</si>
  <si>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</si>
  <si>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</si>
  <si>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</si>
  <si>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</si>
  <si>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</si>
  <si>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</si>
  <si>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</si>
  <si>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GEOFFROY SEVENO, ALEXANDRE ALAMAN</t>
  </si>
  <si>
    <t xml:space="preserve">RUISSEAU DE CAMESON</t>
  </si>
  <si>
    <t xml:space="preserve">LE CAMEZON AU LIEU DIT LAMARION</t>
  </si>
  <si>
    <t xml:space="preserve">05118893</t>
  </si>
  <si>
    <t xml:space="preserve">9318 - HYDROBIO AEAG - LOT 3 - IBMR</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</si>
  <si>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</si>
  <si>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</si>
  <si>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</si>
  <si>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</si>
  <si>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</si>
  <si>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</si>
  <si>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</si>
  <si>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</si>
  <si>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pl. lent</t>
  </si>
  <si>
    <t xml:space="preserve">niveau trophique</t>
  </si>
  <si>
    <t xml:space="preserve">faible</t>
  </si>
  <si>
    <t xml:space="preserve">moyen</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</si>
  <si>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</si>
  <si>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</si>
  <si>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</si>
  <si>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</si>
  <si>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</si>
  <si>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</si>
  <si>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</si>
  <si>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</si>
  <si>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</si>
  <si>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</si>
  <si>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absent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</si>
  <si>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</si>
  <si>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</si>
  <si>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</si>
  <si>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</si>
  <si>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</si>
  <si>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</si>
  <si>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</si>
  <si>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</si>
  <si>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</si>
  <si>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</si>
  <si>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</si>
  <si>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</si>
  <si>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</si>
  <si>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</si>
  <si>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</si>
  <si>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</si>
  <si>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</si>
  <si>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</si>
  <si>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</si>
  <si>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</si>
  <si>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</si>
  <si>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</si>
  <si>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</si>
  <si>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</si>
  <si>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</si>
  <si>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</si>
  <si>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</si>
  <si>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</si>
  <si>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</si>
  <si>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</si>
  <si>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</si>
  <si>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</si>
  <si>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</si>
  <si>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</si>
  <si>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</si>
  <si>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</si>
  <si>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</si>
  <si>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</si>
  <si>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</si>
  <si>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</si>
  <si>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</si>
  <si>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</si>
  <si>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</si>
  <si>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</si>
  <si>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</si>
  <si>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</si>
  <si>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</si>
  <si>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</si>
  <si>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</si>
  <si>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</si>
  <si>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</si>
  <si>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</si>
  <si>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</si>
  <si>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</si>
  <si>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</si>
  <si>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</si>
  <si>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</si>
  <si>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</si>
  <si>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</si>
  <si>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</si>
  <si>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</si>
  <si>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</si>
  <si>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</si>
  <si>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</si>
  <si>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</si>
  <si>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</si>
  <si>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</si>
  <si>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</si>
  <si>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</si>
  <si>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</si>
  <si>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</si>
  <si>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</si>
  <si>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</si>
  <si>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</si>
  <si>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</si>
  <si>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</si>
  <si>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</si>
  <si>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</si>
  <si>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</si>
  <si>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</si>
  <si>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</si>
  <si>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Cf.</t>
  </si>
  <si>
    <t xml:space="preserve">périphyton</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</si>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</sst>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42608</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13.4</v>
      </c>
      <c r="N5" s="324"/>
      <c r="O5" s="325" t="s">
        <v>723</v>
      </c>
      <c r="P5" s="326" t="n">
        <v>11.4285714285714</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1</v>
      </c>
      <c r="P6" s="338" t="s">
        <v>3393</v>
      </c>
      <c r="Q6" s="339"/>
      <c r="R6" s="281"/>
      <c r="S6" s="281"/>
      <c r="T6" s="281"/>
      <c r="U6" s="281"/>
      <c r="V6" s="281"/>
      <c r="W6" s="295"/>
      <c r="X6" s="0"/>
      <c r="Y6" s="0"/>
      <c r="Z6" s="0"/>
    </row>
    <row r="7" customFormat="false" ht="12.75" hidden="false" customHeight="false" outlineLevel="0" collapsed="false">
      <c r="A7" s="340" t="s">
        <v>3394</v>
      </c>
      <c r="B7" s="341" t="n">
        <v>15</v>
      </c>
      <c r="C7" s="342" t="n">
        <v>85</v>
      </c>
      <c r="D7" s="330"/>
      <c r="E7" s="330"/>
      <c r="F7" s="343" t="n">
        <f aca="false">B7+C7</f>
        <v>100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12.2</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3400</v>
      </c>
      <c r="B9" s="358" t="n">
        <v>0.02</v>
      </c>
      <c r="C9" s="359" t="n">
        <v>0.03</v>
      </c>
      <c r="D9" s="360"/>
      <c r="E9" s="360"/>
      <c r="F9" s="361" t="n">
        <f aca="false">($B9*$B$7+$C9*$C$7)/100</f>
        <v>0.0285</v>
      </c>
      <c r="G9" s="362"/>
      <c r="H9" s="317"/>
      <c r="I9" s="281"/>
      <c r="J9" s="363"/>
      <c r="K9" s="364"/>
      <c r="L9" s="347"/>
      <c r="M9" s="365"/>
      <c r="N9" s="355" t="s">
        <v>3401</v>
      </c>
      <c r="O9" s="356" t="n">
        <f aca="false">IF(ISERROR(STDEVP(J23:J82))," ",STDEVP(J23:J82))</f>
        <v>3.81575680566778</v>
      </c>
      <c r="P9" s="356" t="n">
        <f aca="false">IF(ISERROR(STDEVP(K23:K82)),"  ",STDEVP(K23:K82))</f>
        <v>0.632455532033676</v>
      </c>
      <c r="Q9" s="357"/>
      <c r="R9" s="281"/>
      <c r="S9" s="281"/>
      <c r="T9" s="281"/>
      <c r="U9" s="281"/>
      <c r="V9" s="281"/>
      <c r="W9" s="295"/>
      <c r="X9" s="0"/>
      <c r="Y9" s="0"/>
      <c r="Z9" s="0"/>
    </row>
    <row r="10" customFormat="false" ht="12.75" hidden="false" customHeight="false" outlineLevel="0" collapsed="false">
      <c r="A10" s="314" t="s">
        <v>3402</v>
      </c>
      <c r="B10" s="366" t="s">
        <v>3403</v>
      </c>
      <c r="C10" s="367" t="s">
        <v>3404</v>
      </c>
      <c r="D10" s="360"/>
      <c r="E10" s="360"/>
      <c r="F10" s="361"/>
      <c r="G10" s="362"/>
      <c r="H10" s="330"/>
      <c r="I10" s="281"/>
      <c r="J10" s="368"/>
      <c r="K10" s="369" t="s">
        <v>3405</v>
      </c>
      <c r="L10" s="370"/>
      <c r="M10" s="371"/>
      <c r="N10" s="355" t="s">
        <v>3406</v>
      </c>
      <c r="O10" s="372" t="n">
        <f aca="false">MIN(J23:J82)</f>
        <v>6</v>
      </c>
      <c r="P10" s="372" t="n">
        <f aca="false">MIN(K23:K82)</f>
        <v>1</v>
      </c>
      <c r="Q10" s="373"/>
      <c r="R10" s="281"/>
      <c r="S10" s="281"/>
      <c r="T10" s="281"/>
      <c r="U10" s="281"/>
      <c r="V10" s="281"/>
      <c r="W10" s="295"/>
      <c r="X10" s="0"/>
      <c r="Y10" s="0"/>
      <c r="Z10" s="0"/>
    </row>
    <row r="11" customFormat="false" ht="12.75" hidden="false" customHeight="false" outlineLevel="0" collapsed="false">
      <c r="A11" s="374" t="s">
        <v>3407</v>
      </c>
      <c r="B11" s="375"/>
      <c r="C11" s="376"/>
      <c r="D11" s="360"/>
      <c r="E11" s="360"/>
      <c r="F11" s="377" t="n">
        <f aca="false">($B11*$B$7+$C11*$C$7)/100</f>
        <v>0</v>
      </c>
      <c r="G11" s="378"/>
      <c r="H11" s="330"/>
      <c r="I11" s="281"/>
      <c r="J11" s="379" t="s">
        <v>3408</v>
      </c>
      <c r="K11" s="379"/>
      <c r="L11" s="380" t="n">
        <f aca="false">COUNTIF($G$23:$G$82,"=HET")</f>
        <v>0</v>
      </c>
      <c r="M11" s="381"/>
      <c r="N11" s="355" t="s">
        <v>3409</v>
      </c>
      <c r="O11" s="372" t="n">
        <f aca="false">MAX(J23:J82)</f>
        <v>18</v>
      </c>
      <c r="P11" s="372" t="n">
        <f aca="false">MAX(K23:K82)</f>
        <v>3</v>
      </c>
      <c r="Q11" s="373"/>
      <c r="R11" s="281"/>
      <c r="S11" s="281"/>
      <c r="T11" s="281"/>
      <c r="U11" s="281"/>
      <c r="V11" s="281"/>
      <c r="W11" s="295"/>
      <c r="X11" s="0"/>
      <c r="Y11" s="0"/>
      <c r="Z11" s="0"/>
    </row>
    <row r="12" customFormat="false" ht="12.75" hidden="false" customHeight="false" outlineLevel="0" collapsed="false">
      <c r="A12" s="382" t="s">
        <v>3410</v>
      </c>
      <c r="B12" s="383"/>
      <c r="C12" s="384"/>
      <c r="D12" s="360"/>
      <c r="E12" s="360"/>
      <c r="F12" s="377" t="n">
        <f aca="false">($B12*$B$7+$C12*$C$7)/100</f>
        <v>0</v>
      </c>
      <c r="G12" s="378"/>
      <c r="H12" s="330"/>
      <c r="I12" s="281"/>
      <c r="J12" s="379" t="s">
        <v>3411</v>
      </c>
      <c r="K12" s="379"/>
      <c r="L12" s="380" t="n">
        <f aca="false">COUNTIF($G$23:$G$82,"=ALG")</f>
        <v>2</v>
      </c>
      <c r="M12" s="381"/>
      <c r="N12" s="385"/>
      <c r="O12" s="386" t="s">
        <v>3405</v>
      </c>
      <c r="P12" s="387"/>
      <c r="Q12" s="388"/>
      <c r="R12" s="281"/>
      <c r="S12" s="281"/>
      <c r="T12" s="281"/>
      <c r="U12" s="281"/>
      <c r="V12" s="281"/>
      <c r="W12" s="295"/>
      <c r="X12" s="0"/>
      <c r="Y12" s="0"/>
      <c r="Z12" s="0"/>
    </row>
    <row r="13" customFormat="false" ht="12.75" hidden="false" customHeight="false" outlineLevel="0" collapsed="false">
      <c r="A13" s="382" t="s">
        <v>3412</v>
      </c>
      <c r="B13" s="383"/>
      <c r="C13" s="384"/>
      <c r="D13" s="360"/>
      <c r="E13" s="360"/>
      <c r="F13" s="377" t="n">
        <f aca="false">($B13*$B$7+$C13*$C$7)/100</f>
        <v>0</v>
      </c>
      <c r="G13" s="378"/>
      <c r="H13" s="330"/>
      <c r="I13" s="281"/>
      <c r="J13" s="379" t="s">
        <v>3413</v>
      </c>
      <c r="K13" s="379"/>
      <c r="L13" s="380" t="n">
        <f aca="false">COUNTIF($G$23:$G$82,"=BRm")+COUNTIF($G$23:$G$82,"=BRh")</f>
        <v>4</v>
      </c>
      <c r="M13" s="381"/>
      <c r="N13" s="389" t="s">
        <v>3414</v>
      </c>
      <c r="O13" s="390" t="n">
        <f aca="false">COUNTIF(F23:F82,"&gt;0")</f>
        <v>7</v>
      </c>
      <c r="P13" s="372"/>
      <c r="Q13" s="391"/>
      <c r="R13" s="281"/>
      <c r="S13" s="281"/>
      <c r="T13" s="281"/>
      <c r="U13" s="281"/>
      <c r="V13" s="281"/>
      <c r="W13" s="295"/>
      <c r="X13" s="0"/>
      <c r="Y13" s="0"/>
      <c r="Z13" s="0"/>
    </row>
    <row r="14" customFormat="false" ht="12.75" hidden="false" customHeight="false" outlineLevel="0" collapsed="false">
      <c r="A14" s="382" t="s">
        <v>3415</v>
      </c>
      <c r="B14" s="383"/>
      <c r="C14" s="384"/>
      <c r="D14" s="360"/>
      <c r="E14" s="360"/>
      <c r="F14" s="377" t="n">
        <f aca="false">($B14*$B$7+$C14*$C$7)/100</f>
        <v>0</v>
      </c>
      <c r="G14" s="378"/>
      <c r="H14" s="330"/>
      <c r="I14" s="281"/>
      <c r="J14" s="379" t="s">
        <v>3416</v>
      </c>
      <c r="K14" s="379"/>
      <c r="L14" s="380" t="n">
        <f aca="false">COUNTIF($G$23:$G$82,"=PTE")+COUNTIF($G$23:$G$82,"=LIC")</f>
        <v>1</v>
      </c>
      <c r="M14" s="381"/>
      <c r="N14" s="392" t="s">
        <v>3417</v>
      </c>
      <c r="O14" s="393" t="n">
        <f aca="false">COUNTIF($J$23:$J$82,"&gt;-1")</f>
        <v>5</v>
      </c>
      <c r="P14" s="394"/>
      <c r="Q14" s="391"/>
      <c r="R14" s="281"/>
      <c r="S14" s="281"/>
      <c r="T14" s="281"/>
      <c r="U14" s="281"/>
      <c r="V14" s="281"/>
      <c r="W14" s="295"/>
      <c r="X14" s="0"/>
      <c r="Y14" s="0"/>
      <c r="Z14" s="0"/>
    </row>
    <row r="15" customFormat="false" ht="12.75" hidden="false" customHeight="false" outlineLevel="0" collapsed="false">
      <c r="A15" s="395" t="s">
        <v>3418</v>
      </c>
      <c r="B15" s="396"/>
      <c r="C15" s="397"/>
      <c r="D15" s="360"/>
      <c r="E15" s="360"/>
      <c r="F15" s="377" t="n">
        <f aca="false">($B15*$B$7+$C15*$C$7)/100</f>
        <v>0</v>
      </c>
      <c r="G15" s="378"/>
      <c r="H15" s="330"/>
      <c r="I15" s="281"/>
      <c r="J15" s="379" t="s">
        <v>3419</v>
      </c>
      <c r="K15" s="379"/>
      <c r="L15" s="380" t="n">
        <f aca="false">(COUNTIF($G$23:$G$82,"=PHy"))+(COUNTIF($G$23:$G$82,"=PHe"))+(COUNTIF($G$23:$G$82,"=PHg"))+(COUNTIF($G$23:$G$82,"=PHx"))</f>
        <v>0</v>
      </c>
      <c r="M15" s="381"/>
      <c r="N15" s="389" t="s">
        <v>3420</v>
      </c>
      <c r="O15" s="390" t="n">
        <f aca="false">COUNTIF(K23:K82,"=1")</f>
        <v>1</v>
      </c>
      <c r="P15" s="372"/>
      <c r="Q15" s="391"/>
      <c r="R15" s="281"/>
      <c r="S15" s="281"/>
      <c r="T15" s="281"/>
      <c r="U15" s="281"/>
      <c r="V15" s="281"/>
      <c r="W15" s="295"/>
      <c r="X15" s="0"/>
      <c r="Y15" s="0"/>
      <c r="Z15" s="0"/>
    </row>
    <row r="16" customFormat="false" ht="12.75" hidden="false" customHeight="false" outlineLevel="0" collapsed="false">
      <c r="A16" s="374" t="s">
        <v>3421</v>
      </c>
      <c r="B16" s="375"/>
      <c r="C16" s="376"/>
      <c r="D16" s="360"/>
      <c r="E16" s="360"/>
      <c r="F16" s="398"/>
      <c r="G16" s="399" t="n">
        <f aca="false">($B16*$B$7+$C16*$C$7)/100</f>
        <v>0</v>
      </c>
      <c r="H16" s="330"/>
      <c r="I16" s="281"/>
      <c r="J16" s="400"/>
      <c r="K16" s="401"/>
      <c r="L16" s="401"/>
      <c r="M16" s="381"/>
      <c r="N16" s="389" t="s">
        <v>3422</v>
      </c>
      <c r="O16" s="390" t="n">
        <f aca="false">COUNTIF(K23:K82,"=2")</f>
        <v>3</v>
      </c>
      <c r="P16" s="372"/>
      <c r="Q16" s="391"/>
      <c r="R16" s="281"/>
      <c r="S16" s="281"/>
      <c r="T16" s="281"/>
      <c r="U16" s="281"/>
      <c r="V16" s="281"/>
      <c r="W16" s="295"/>
      <c r="X16" s="0"/>
      <c r="Y16" s="0"/>
      <c r="Z16" s="0"/>
    </row>
    <row r="17" customFormat="false" ht="12.75" hidden="false" customHeight="false" outlineLevel="0" collapsed="false">
      <c r="A17" s="382" t="s">
        <v>3423</v>
      </c>
      <c r="B17" s="383"/>
      <c r="C17" s="384"/>
      <c r="D17" s="360"/>
      <c r="E17" s="360"/>
      <c r="F17" s="402"/>
      <c r="G17" s="403" t="n">
        <f aca="false">($B17*$B$7+$C17*$C$7)/100</f>
        <v>0</v>
      </c>
      <c r="H17" s="330"/>
      <c r="I17" s="281"/>
      <c r="J17" s="404"/>
      <c r="K17" s="405"/>
      <c r="L17" s="406" t="s">
        <v>3424</v>
      </c>
      <c r="M17" s="407" t="n">
        <f aca="false">IF(ISERROR((O13-(COUNTIF(J23:J82,"nc")))/O13),"-",(O13-(COUNTIF(J23:J82,"nc")))/O13)</f>
        <v>0.714285714285714</v>
      </c>
      <c r="N17" s="389" t="s">
        <v>3425</v>
      </c>
      <c r="O17" s="390" t="n">
        <f aca="false">COUNTIF(K23:K82,"=3")</f>
        <v>1</v>
      </c>
      <c r="P17" s="372"/>
      <c r="Q17" s="391"/>
      <c r="R17" s="281"/>
      <c r="S17" s="281"/>
      <c r="T17" s="281"/>
      <c r="U17" s="281"/>
      <c r="V17" s="281"/>
      <c r="W17" s="408"/>
      <c r="X17" s="0"/>
      <c r="Y17" s="0"/>
      <c r="Z17" s="0"/>
    </row>
    <row r="18" customFormat="false" ht="12.75" hidden="false" customHeight="false" outlineLevel="0" collapsed="false">
      <c r="A18" s="409" t="s">
        <v>3426</v>
      </c>
      <c r="B18" s="410"/>
      <c r="C18" s="411"/>
      <c r="D18" s="360"/>
      <c r="E18" s="412" t="s">
        <v>3427</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3428</v>
      </c>
      <c r="B20" s="432" t="n">
        <f aca="false">SUM(B23:B82)</f>
        <v>0.025</v>
      </c>
      <c r="C20" s="433" t="n">
        <f aca="false">SUM(C23:C82)</f>
        <v>0.025</v>
      </c>
      <c r="D20" s="434"/>
      <c r="E20" s="435" t="s">
        <v>3427</v>
      </c>
      <c r="F20" s="436" t="n">
        <f aca="false">($B20*$B$7+$C20*$C$7)/100</f>
        <v>0.025</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3429</v>
      </c>
      <c r="B21" s="444" t="n">
        <f aca="false">B20*B7/100</f>
        <v>0.00375</v>
      </c>
      <c r="C21" s="444" t="n">
        <f aca="false">C20*C7/100</f>
        <v>0.02125</v>
      </c>
      <c r="D21" s="445" t="s">
        <v>3430</v>
      </c>
      <c r="E21" s="446"/>
      <c r="F21" s="447" t="n">
        <f aca="false">B21+C21</f>
        <v>0.025</v>
      </c>
      <c r="G21" s="448"/>
      <c r="H21" s="360"/>
      <c r="I21" s="281"/>
      <c r="J21" s="449"/>
      <c r="K21" s="449"/>
      <c r="L21" s="450"/>
      <c r="M21" s="450"/>
      <c r="N21" s="451"/>
      <c r="O21" s="451"/>
      <c r="P21" s="452"/>
      <c r="Q21" s="443"/>
      <c r="R21" s="281"/>
      <c r="S21" s="281"/>
      <c r="T21" s="453"/>
      <c r="U21" s="453"/>
      <c r="V21" s="281"/>
      <c r="W21" s="454"/>
      <c r="X21" s="455" t="s">
        <v>3431</v>
      </c>
      <c r="Y21" s="0"/>
      <c r="Z21" s="0"/>
    </row>
    <row r="22" customFormat="false" ht="12.75" hidden="false" customHeight="false" outlineLevel="0" collapsed="false">
      <c r="A22" s="456" t="s">
        <v>3432</v>
      </c>
      <c r="B22" s="457" t="s">
        <v>3433</v>
      </c>
      <c r="C22" s="457" t="s">
        <v>3433</v>
      </c>
      <c r="D22" s="458"/>
      <c r="E22" s="459"/>
      <c r="F22" s="460" t="s">
        <v>3434</v>
      </c>
      <c r="G22" s="461" t="s">
        <v>23</v>
      </c>
      <c r="H22" s="360" t="s">
        <v>24</v>
      </c>
      <c r="I22" s="281" t="s">
        <v>3435</v>
      </c>
      <c r="J22" s="462" t="s">
        <v>3436</v>
      </c>
      <c r="K22" s="462" t="s">
        <v>3437</v>
      </c>
      <c r="L22" s="463" t="s">
        <v>3438</v>
      </c>
      <c r="M22" s="463"/>
      <c r="N22" s="463"/>
      <c r="O22" s="463"/>
      <c r="P22" s="455" t="s">
        <v>3439</v>
      </c>
      <c r="Q22" s="464" t="s">
        <v>3440</v>
      </c>
      <c r="R22" s="465" t="s">
        <v>3441</v>
      </c>
      <c r="S22" s="466" t="s">
        <v>3442</v>
      </c>
      <c r="T22" s="467" t="s">
        <v>3443</v>
      </c>
      <c r="U22" s="467" t="s">
        <v>3444</v>
      </c>
      <c r="V22" s="468" t="s">
        <v>3445</v>
      </c>
      <c r="W22" s="469" t="s">
        <v>3446</v>
      </c>
      <c r="X22" s="469" t="s">
        <v>3447</v>
      </c>
      <c r="Y22" s="470" t="s">
        <v>3448</v>
      </c>
      <c r="Z22" s="470" t="s">
        <v>3449</v>
      </c>
    </row>
    <row r="23" customFormat="false" ht="12.75" hidden="false" customHeight="false" outlineLevel="0" collapsed="false">
      <c r="A23" s="471" t="s">
        <v>134</v>
      </c>
      <c r="B23" s="472"/>
      <c r="C23" s="473" t="n">
        <v>0.005</v>
      </c>
      <c r="D23" s="474" t="str">
        <f aca="false">IF(ISERROR(VLOOKUP($A23,'liste reference'!$A$6:$B$1174,2,0)),IF(ISERROR(VLOOKUP($A23,'liste reference'!$B$6:$B$1174,1,0)),"",VLOOKUP($A23,'liste reference'!$B$6:$B$1174,1,0)),VLOOKUP($A23,'liste reference'!$A$6:$B$1174,2,0))</f>
        <v>Cladophora sp.</v>
      </c>
      <c r="E23" s="475" t="e">
        <f aca="false">IF(D23="",0,VLOOKUP(D23,D$22:D22,1,0))</f>
        <v>#N/A</v>
      </c>
      <c r="F23" s="476" t="n">
        <f aca="false">IF(AND(OR(A23="",A23="!!!!!!"),B23="",C23=""),"",IF(OR(AND(B23="",C23=""),ISERROR(C23+B23)),"!!!",($B23*$B$7+$C23*$C$7)/100))</f>
        <v>0.00425</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6</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Cladophora sp.</v>
      </c>
      <c r="M23" s="481"/>
      <c r="N23" s="481"/>
      <c r="O23" s="481"/>
      <c r="P23" s="482" t="s">
        <v>3450</v>
      </c>
      <c r="Q23" s="483" t="n">
        <f aca="false">IF(OR($A23="NEWCOD",$A23="!!!!!!"),IF(X23="","NoCod",X23),IF($A23="","",IF(ISERROR(VLOOKUP($A23,'liste reference'!$A$6:$H$1174,8,0)),IF(ISERROR(VLOOKUP($A23,'liste reference'!$B$6:$H$1174,7,0)),"",VLOOKUP($A23,'liste reference'!$B$6:$H$1174,7,0)),VLOOKUP($A23,'liste reference'!$A$6:$H$1174,8,0))))</f>
        <v>1124</v>
      </c>
      <c r="R23" s="484" t="n">
        <f aca="false">IF(ISTEXT(H23),"",(B23*$B$7/100)+(C23*$C$7/100))</f>
        <v>0.00425</v>
      </c>
      <c r="S23" s="485" t="n">
        <f aca="false">IF(OR(ISTEXT(H23),R23=0),"",IF(R23&lt;0.1,1,IF(R23&lt;1,2,IF(R23&lt;10,3,IF(R23&lt;50,4,IF(R23&gt;=50,5,""))))))</f>
        <v>1</v>
      </c>
      <c r="T23" s="485" t="n">
        <f aca="false">IF(ISERROR(S23*J23),0,S23*J23)</f>
        <v>6</v>
      </c>
      <c r="U23" s="485" t="n">
        <f aca="false">IF(ISERROR(S23*J23*K23),0,S23*J23*K23)</f>
        <v>6</v>
      </c>
      <c r="V23" s="485" t="n">
        <f aca="false">IF(ISERROR(S23*K23),0,S23*K23)</f>
        <v>1</v>
      </c>
      <c r="W23" s="486"/>
      <c r="X23" s="487"/>
      <c r="Y23" s="488" t="str">
        <f aca="false">IF(AND(ISNUMBER(F23),OR(A23="",A23="!!!!!!")),"!!!!!!",IF(A23="new.cod","NEWCOD",IF(AND((Z23=""),ISTEXT(A23),A23&lt;&gt;"!!!!!!"),A23,IF(Z23="","",INDEX('liste reference'!$A$6:$A$1174,Z23)))))</f>
        <v>CLASPX</v>
      </c>
      <c r="Z23" s="470" t="n">
        <f aca="false">IF(ISERROR(MATCH(A23,'liste reference'!$A$6:$A$1174,0)),IF(ISERROR(MATCH(A23,'liste reference'!$B$6:$B$1174,0)),"",(MATCH(A23,'liste reference'!$B$6:$B$1174,0))),(MATCH(A23,'liste reference'!$A$6:$A$1174,0)))</f>
        <v>35</v>
      </c>
    </row>
    <row r="24" customFormat="false" ht="12.75" hidden="false" customHeight="false" outlineLevel="0" collapsed="false">
      <c r="A24" s="489" t="s">
        <v>309</v>
      </c>
      <c r="B24" s="490" t="n">
        <v>0.01</v>
      </c>
      <c r="C24" s="491" t="n">
        <v>0.01</v>
      </c>
      <c r="D24" s="492" t="str">
        <f aca="false">IF(ISERROR(VLOOKUP($A24,'liste reference'!$A$6:$B$1174,2,0)),IF(ISERROR(VLOOKUP($A24,'liste reference'!$B$6:$B$1174,1,0)),"",VLOOKUP($A24,'liste reference'!$B$6:$B$1174,1,0)),VLOOKUP($A24,'liste reference'!$A$6:$B$1174,2,0))</f>
        <v>Phormidium sp.</v>
      </c>
      <c r="E24" s="493" t="e">
        <f aca="false">IF(D24="",0,VLOOKUP(D24,D$22:D23,1,0))</f>
        <v>#N/A</v>
      </c>
      <c r="F24" s="494" t="n">
        <f aca="false">IF(AND(OR(A24="",A24="!!!!!!"),B24="",C24=""),"",IF(OR(AND(B24="",C24=""),ISERROR(C24+B24)),"!!!",($B24*$B$7+$C24*$C$7)/100))</f>
        <v>0.01</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13</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Phormidium sp.</v>
      </c>
      <c r="M24" s="498"/>
      <c r="N24" s="498"/>
      <c r="O24" s="498"/>
      <c r="P24" s="499" t="s">
        <v>3450</v>
      </c>
      <c r="Q24" s="500" t="n">
        <f aca="false">IF(OR($A24="NEWCOD",$A24="!!!!!!"),IF(X24="","NoCod",X24),IF($A24="","",IF(ISERROR(VLOOKUP($A24,'liste reference'!$A$6:$H$1174,8,0)),IF(ISERROR(VLOOKUP($A24,'liste reference'!$B$6:$H$1174,7,0)),"",VLOOKUP($A24,'liste reference'!$B$6:$H$1174,7,0)),VLOOKUP($A24,'liste reference'!$A$6:$H$1174,8,0))))</f>
        <v>6414</v>
      </c>
      <c r="R24" s="484" t="n">
        <f aca="false">IF(ISTEXT(H24),"",(B24*$B$7/100)+(C24*$C$7/100))</f>
        <v>0.01</v>
      </c>
      <c r="S24" s="485" t="n">
        <f aca="false">IF(OR(ISTEXT(H24),R24=0),"",IF(R24&lt;0.1,1,IF(R24&lt;1,2,IF(R24&lt;10,3,IF(R24&lt;50,4,IF(R24&gt;=50,5,""))))))</f>
        <v>1</v>
      </c>
      <c r="T24" s="485" t="n">
        <f aca="false">IF(ISERROR(S24*J24),0,S24*J24)</f>
        <v>13</v>
      </c>
      <c r="U24" s="485" t="n">
        <f aca="false">IF(ISERROR(S24*J24*K24),0,S24*J24*K24)</f>
        <v>26</v>
      </c>
      <c r="V24" s="501" t="n">
        <f aca="false">IF(ISERROR(S24*K24),0,S24*K24)</f>
        <v>2</v>
      </c>
      <c r="W24" s="502"/>
      <c r="X24" s="503"/>
      <c r="Y24" s="488" t="str">
        <f aca="false">IF(AND(ISNUMBER(F24),OR(A24="",A24="!!!!!!")),"!!!!!!",IF(A24="new.cod","NEWCOD",IF(AND((Z24=""),ISTEXT(A24),A24&lt;&gt;"!!!!!!"),A24,IF(Z24="","",INDEX('liste reference'!$A$6:$A$1174,Z24)))))</f>
        <v>PHOSPX</v>
      </c>
      <c r="Z24" s="470" t="n">
        <f aca="false">IF(ISERROR(MATCH(A24,'liste reference'!$A$6:$A$1174,0)),IF(ISERROR(MATCH(A24,'liste reference'!$B$6:$B$1174,0)),"",(MATCH(A24,'liste reference'!$B$6:$B$1174,0))),(MATCH(A24,'liste reference'!$A$6:$A$1174,0)))</f>
        <v>88</v>
      </c>
    </row>
    <row r="25" customFormat="false" ht="12.75" hidden="false" customHeight="false" outlineLevel="0" collapsed="false">
      <c r="A25" s="489" t="s">
        <v>566</v>
      </c>
      <c r="B25" s="490" t="n">
        <v>0.005</v>
      </c>
      <c r="C25" s="491"/>
      <c r="D25" s="492" t="str">
        <f aca="false">IF(ISERROR(VLOOKUP($A25,'liste reference'!$A$6:$B$1174,2,0)),IF(ISERROR(VLOOKUP($A25,'liste reference'!$B$6:$B$1174,1,0)),"",VLOOKUP($A25,'liste reference'!$B$6:$B$1174,1,0)),VLOOKUP($A25,'liste reference'!$A$6:$B$1174,2,0))</f>
        <v>Porella pinnata</v>
      </c>
      <c r="E25" s="493" t="e">
        <f aca="false">IF(D25="",0,VLOOKUP(D25,D$22:D24,1,0))</f>
        <v>#N/A</v>
      </c>
      <c r="F25" s="494" t="n">
        <f aca="false">IF(AND(OR(A25="",A25="!!!!!!"),B25="",C25=""),"",IF(OR(AND(B25="",C25=""),ISERROR(C25+B25)),"!!!",($B25*$B$7+$C25*$C$7)/100))</f>
        <v>0.00075</v>
      </c>
      <c r="G25" s="495" t="str">
        <f aca="false">IF(A25="","",IF(ISERROR(VLOOKUP($A25,'liste reference'!$A$6:$Q$1174,9,0)),IF(ISERROR(VLOOKUP($A25,'liste reference'!$B$6:$Q$1174,8,0)),"    -",VLOOKUP($A25,'liste reference'!$B$6:$Q$1174,8,0)),VLOOKUP($A25,'liste reference'!$A$6:$Q$1174,9,0)))</f>
        <v>BRh</v>
      </c>
      <c r="H25" s="496" t="n">
        <f aca="false">IF(A25="","x",IF(ISERROR(VLOOKUP($A25,'liste reference'!$A$6:$Q$1174,10,0)),IF(ISERROR(VLOOKUP($A25,'liste reference'!$B$6:$Q$1174,9,0)),"x",VLOOKUP($A25,'liste reference'!$B$6:$Q$1174,9,0)),VLOOKUP($A25,'liste reference'!$A$6:$Q$1174,10,0)))</f>
        <v>4</v>
      </c>
      <c r="I25" s="281" t="n">
        <f aca="false">IF(A25="","",1)</f>
        <v>1</v>
      </c>
      <c r="J25" s="497" t="n">
        <f aca="false">IF(ISNUMBER($H25),IF(ISERROR(VLOOKUP($A25,'liste reference'!$A$6:$Q$1174,6,0)),IF(ISERROR(VLOOKUP($A25,'liste reference'!$B$6:$Q$1174,5,0)),"nu",VLOOKUP($A25,'liste reference'!$B$6:$Q$1174,5,0)),VLOOKUP($A25,'liste reference'!$A$6:$Q$1174,6,0)),"nu")</f>
        <v>12</v>
      </c>
      <c r="K25" s="497" t="n">
        <f aca="false">IF(ISNUMBER($H25),IF(ISERROR(VLOOKUP($A25,'liste reference'!$A$6:$Q$1174,7,0)),IF(ISERROR(VLOOKUP($A25,'liste reference'!$B$6:$Q$1174,6,0)),"nu",VLOOKUP($A25,'liste reference'!$B$6:$Q$1174,6,0)),VLOOKUP($A25,'liste reference'!$A$6:$Q$1174,7,0)),"nu")</f>
        <v>2</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Porella pinnata</v>
      </c>
      <c r="M25" s="498"/>
      <c r="N25" s="498"/>
      <c r="O25" s="498"/>
      <c r="P25" s="499" t="s">
        <v>3450</v>
      </c>
      <c r="Q25" s="500" t="n">
        <f aca="false">IF(OR($A25="NEWCOD",$A25="!!!!!!"),IF(X25="","NoCod",X25),IF($A25="","",IF(ISERROR(VLOOKUP($A25,'liste reference'!$A$6:$H$1174,8,0)),IF(ISERROR(VLOOKUP($A25,'liste reference'!$B$6:$H$1174,7,0)),"",VLOOKUP($A25,'liste reference'!$B$6:$H$1174,7,0)),VLOOKUP($A25,'liste reference'!$A$6:$H$1174,8,0))))</f>
        <v>9788</v>
      </c>
      <c r="R25" s="484" t="n">
        <f aca="false">IF(ISTEXT(H25),"",(B25*$B$7/100)+(C25*$C$7/100))</f>
        <v>0.00075</v>
      </c>
      <c r="S25" s="485" t="n">
        <f aca="false">IF(OR(ISTEXT(H25),R25=0),"",IF(R25&lt;0.1,1,IF(R25&lt;1,2,IF(R25&lt;10,3,IF(R25&lt;50,4,IF(R25&gt;=50,5,""))))))</f>
        <v>1</v>
      </c>
      <c r="T25" s="485" t="n">
        <f aca="false">IF(ISERROR(S25*J25),0,S25*J25)</f>
        <v>12</v>
      </c>
      <c r="U25" s="485" t="n">
        <f aca="false">IF(ISERROR(S25*J25*K25),0,S25*J25*K25)</f>
        <v>24</v>
      </c>
      <c r="V25" s="501" t="n">
        <f aca="false">IF(ISERROR(S25*K25),0,S25*K25)</f>
        <v>2</v>
      </c>
      <c r="W25" s="502"/>
      <c r="X25" s="503"/>
      <c r="Y25" s="488" t="str">
        <f aca="false">IF(AND(ISNUMBER(F25),OR(A25="",A25="!!!!!!")),"!!!!!!",IF(A25="new.cod","NEWCOD",IF(AND((Z25=""),ISTEXT(A25),A25&lt;&gt;"!!!!!!"),A25,IF(Z25="","",INDEX('liste reference'!$A$6:$A$1174,Z25)))))</f>
        <v>PORPIN</v>
      </c>
      <c r="Z25" s="470" t="n">
        <f aca="false">IF(ISERROR(MATCH(A25,'liste reference'!$A$6:$A$1174,0)),IF(ISERROR(MATCH(A25,'liste reference'!$B$6:$B$1174,0)),"",(MATCH(A25,'liste reference'!$B$6:$B$1174,0))),(MATCH(A25,'liste reference'!$A$6:$A$1174,0)))</f>
        <v>174</v>
      </c>
    </row>
    <row r="26" customFormat="false" ht="12.75" hidden="false" customHeight="false" outlineLevel="0" collapsed="false">
      <c r="A26" s="489" t="s">
        <v>723</v>
      </c>
      <c r="B26" s="490"/>
      <c r="C26" s="491" t="n">
        <v>0.005</v>
      </c>
      <c r="D26" s="492" t="str">
        <f aca="false">IF(ISERROR(VLOOKUP($A26,'liste reference'!$A$6:$B$1174,2,0)),IF(ISERROR(VLOOKUP($A26,'liste reference'!$B$6:$B$1174,1,0)),"",VLOOKUP($A26,'liste reference'!$B$6:$B$1174,1,0)),VLOOKUP($A26,'liste reference'!$A$6:$B$1174,2,0))</f>
        <v>Cratoneuron filicinum</v>
      </c>
      <c r="E26" s="493" t="e">
        <f aca="false">IF(D26="",0,VLOOKUP(D26,D$22:D25,1,0))</f>
        <v>#N/A</v>
      </c>
      <c r="F26" s="494" t="n">
        <f aca="false">IF(AND(OR(A26="",A26="!!!!!!"),B26="",C26=""),"",IF(OR(AND(B26="",C26=""),ISERROR(C26+B26)),"!!!",($B26*$B$7+$C26*$C$7)/100))</f>
        <v>0.00425</v>
      </c>
      <c r="G26" s="495" t="str">
        <f aca="false">IF(A26="","",IF(ISERROR(VLOOKUP($A26,'liste reference'!$A$6:$Q$1174,9,0)),IF(ISERROR(VLOOKUP($A26,'liste reference'!$B$6:$Q$1174,8,0)),"    -",VLOOKUP($A26,'liste reference'!$B$6:$Q$1174,8,0)),VLOOKUP($A26,'liste reference'!$A$6:$Q$1174,9,0)))</f>
        <v>BRm</v>
      </c>
      <c r="H26" s="496" t="n">
        <f aca="false">IF(A26="","x",IF(ISERROR(VLOOKUP($A26,'liste reference'!$A$6:$Q$1174,10,0)),IF(ISERROR(VLOOKUP($A26,'liste reference'!$B$6:$Q$1174,9,0)),"x",VLOOKUP($A26,'liste reference'!$B$6:$Q$1174,9,0)),VLOOKUP($A26,'liste reference'!$A$6:$Q$1174,10,0)))</f>
        <v>5</v>
      </c>
      <c r="I26" s="281" t="n">
        <f aca="false">IF(A26="","",1)</f>
        <v>1</v>
      </c>
      <c r="J26" s="497" t="n">
        <f aca="false">IF(ISNUMBER($H26),IF(ISERROR(VLOOKUP($A26,'liste reference'!$A$6:$Q$1174,6,0)),IF(ISERROR(VLOOKUP($A26,'liste reference'!$B$6:$Q$1174,5,0)),"nu",VLOOKUP($A26,'liste reference'!$B$6:$Q$1174,5,0)),VLOOKUP($A26,'liste reference'!$A$6:$Q$1174,6,0)),"nu")</f>
        <v>18</v>
      </c>
      <c r="K26" s="497" t="n">
        <f aca="false">IF(ISNUMBER($H26),IF(ISERROR(VLOOKUP($A26,'liste reference'!$A$6:$Q$1174,7,0)),IF(ISERROR(VLOOKUP($A26,'liste reference'!$B$6:$Q$1174,6,0)),"nu",VLOOKUP($A26,'liste reference'!$B$6:$Q$1174,6,0)),VLOOKUP($A26,'liste reference'!$A$6:$Q$1174,7,0)),"nu")</f>
        <v>3</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Cratoneuron filicinum</v>
      </c>
      <c r="M26" s="498"/>
      <c r="N26" s="498"/>
      <c r="O26" s="498"/>
      <c r="P26" s="499" t="s">
        <v>3450</v>
      </c>
      <c r="Q26" s="500" t="n">
        <f aca="false">IF(OR($A26="NEWCOD",$A26="!!!!!!"),IF(X26="","NoCod",X26),IF($A26="","",IF(ISERROR(VLOOKUP($A26,'liste reference'!$A$6:$H$1174,8,0)),IF(ISERROR(VLOOKUP($A26,'liste reference'!$B$6:$H$1174,7,0)),"",VLOOKUP($A26,'liste reference'!$B$6:$H$1174,7,0)),VLOOKUP($A26,'liste reference'!$A$6:$H$1174,8,0))))</f>
        <v>1233</v>
      </c>
      <c r="R26" s="484" t="n">
        <f aca="false">IF(ISTEXT(H26),"",(B26*$B$7/100)+(C26*$C$7/100))</f>
        <v>0.00425</v>
      </c>
      <c r="S26" s="485" t="n">
        <f aca="false">IF(OR(ISTEXT(H26),R26=0),"",IF(R26&lt;0.1,1,IF(R26&lt;1,2,IF(R26&lt;10,3,IF(R26&lt;50,4,IF(R26&gt;=50,5,""))))))</f>
        <v>1</v>
      </c>
      <c r="T26" s="485" t="n">
        <f aca="false">IF(ISERROR(S26*J26),0,S26*J26)</f>
        <v>18</v>
      </c>
      <c r="U26" s="485" t="n">
        <f aca="false">IF(ISERROR(S26*J26*K26),0,S26*J26*K26)</f>
        <v>54</v>
      </c>
      <c r="V26" s="501" t="n">
        <f aca="false">IF(ISERROR(S26*K26),0,S26*K26)</f>
        <v>3</v>
      </c>
      <c r="W26" s="502"/>
      <c r="X26" s="503"/>
      <c r="Y26" s="488" t="str">
        <f aca="false">IF(AND(ISNUMBER(F26),OR(A26="",A26="!!!!!!")),"!!!!!!",IF(A26="new.cod","NEWCOD",IF(AND((Z26=""),ISTEXT(A26),A26&lt;&gt;"!!!!!!"),A26,IF(Z26="","",INDEX('liste reference'!$A$6:$A$1174,Z26)))))</f>
        <v>CRAFIL</v>
      </c>
      <c r="Z26" s="470" t="n">
        <f aca="false">IF(ISERROR(MATCH(A26,'liste reference'!$A$6:$A$1174,0)),IF(ISERROR(MATCH(A26,'liste reference'!$B$6:$B$1174,0)),"",(MATCH(A26,'liste reference'!$B$6:$B$1174,0))),(MATCH(A26,'liste reference'!$A$6:$A$1174,0)))</f>
        <v>227</v>
      </c>
    </row>
    <row r="27" customFormat="false" ht="12.75" hidden="false" customHeight="false" outlineLevel="0" collapsed="false">
      <c r="A27" s="489" t="s">
        <v>830</v>
      </c>
      <c r="B27" s="490" t="n">
        <v>0.005</v>
      </c>
      <c r="C27" s="491"/>
      <c r="D27" s="492" t="str">
        <f aca="false">IF(ISERROR(VLOOKUP($A27,'liste reference'!$A$6:$B$1174,2,0)),IF(ISERROR(VLOOKUP($A27,'liste reference'!$B$6:$B$1174,1,0)),"",VLOOKUP($A27,'liste reference'!$B$6:$B$1174,1,0)),VLOOKUP($A27,'liste reference'!$A$6:$B$1174,2,0))</f>
        <v>Fissidens crassipes</v>
      </c>
      <c r="E27" s="493" t="e">
        <f aca="false">IF(D27="",0,VLOOKUP(D27,D$22:D26,1,0))</f>
        <v>#N/A</v>
      </c>
      <c r="F27" s="494" t="n">
        <f aca="false">IF(AND(OR(A27="",A27="!!!!!!"),B27="",C27=""),"",IF(OR(AND(B27="",C27=""),ISERROR(C27+B27)),"!!!",($B27*$B$7+$C27*$C$7)/100))</f>
        <v>0.00075</v>
      </c>
      <c r="G27" s="495" t="str">
        <f aca="false">IF(A27="","",IF(ISERROR(VLOOKUP($A27,'liste reference'!$A$6:$Q$1174,9,0)),IF(ISERROR(VLOOKUP($A27,'liste reference'!$B$6:$Q$1174,8,0)),"    -",VLOOKUP($A27,'liste reference'!$B$6:$Q$1174,8,0)),VLOOKUP($A27,'liste reference'!$A$6:$Q$1174,9,0)))</f>
        <v>BRm</v>
      </c>
      <c r="H27" s="496" t="n">
        <f aca="false">IF(A27="","x",IF(ISERROR(VLOOKUP($A27,'liste reference'!$A$6:$Q$1174,10,0)),IF(ISERROR(VLOOKUP($A27,'liste reference'!$B$6:$Q$1174,9,0)),"x",VLOOKUP($A27,'liste reference'!$B$6:$Q$1174,9,0)),VLOOKUP($A27,'liste reference'!$A$6:$Q$1174,10,0)))</f>
        <v>5</v>
      </c>
      <c r="I27" s="281" t="n">
        <f aca="false">IF(A27="","",1)</f>
        <v>1</v>
      </c>
      <c r="J27" s="497" t="n">
        <f aca="false">IF(ISNUMBER($H27),IF(ISERROR(VLOOKUP($A27,'liste reference'!$A$6:$Q$1174,6,0)),IF(ISERROR(VLOOKUP($A27,'liste reference'!$B$6:$Q$1174,5,0)),"nu",VLOOKUP($A27,'liste reference'!$B$6:$Q$1174,5,0)),VLOOKUP($A27,'liste reference'!$A$6:$Q$1174,6,0)),"nu")</f>
        <v>12</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Fissidens crassipes</v>
      </c>
      <c r="M27" s="498"/>
      <c r="N27" s="498"/>
      <c r="O27" s="498"/>
      <c r="P27" s="499" t="s">
        <v>3450</v>
      </c>
      <c r="Q27" s="500" t="n">
        <f aca="false">IF(OR($A27="NEWCOD",$A27="!!!!!!"),IF(X27="","NoCod",X27),IF($A27="","",IF(ISERROR(VLOOKUP($A27,'liste reference'!$A$6:$H$1174,8,0)),IF(ISERROR(VLOOKUP($A27,'liste reference'!$B$6:$H$1174,7,0)),"",VLOOKUP($A27,'liste reference'!$B$6:$H$1174,7,0)),VLOOKUP($A27,'liste reference'!$A$6:$H$1174,8,0))))</f>
        <v>1294</v>
      </c>
      <c r="R27" s="484" t="n">
        <f aca="false">IF(ISTEXT(H27),"",(B27*$B$7/100)+(C27*$C$7/100))</f>
        <v>0.00075</v>
      </c>
      <c r="S27" s="485" t="n">
        <f aca="false">IF(OR(ISTEXT(H27),R27=0),"",IF(R27&lt;0.1,1,IF(R27&lt;1,2,IF(R27&lt;10,3,IF(R27&lt;50,4,IF(R27&gt;=50,5,""))))))</f>
        <v>1</v>
      </c>
      <c r="T27" s="485" t="n">
        <f aca="false">IF(ISERROR(S27*J27),0,S27*J27)</f>
        <v>12</v>
      </c>
      <c r="U27" s="485" t="n">
        <f aca="false">IF(ISERROR(S27*J27*K27),0,S27*J27*K27)</f>
        <v>24</v>
      </c>
      <c r="V27" s="501" t="n">
        <f aca="false">IF(ISERROR(S27*K27),0,S27*K27)</f>
        <v>2</v>
      </c>
      <c r="W27" s="502"/>
      <c r="X27" s="503"/>
      <c r="Y27" s="488" t="str">
        <f aca="false">IF(AND(ISNUMBER(F27),OR(A27="",A27="!!!!!!")),"!!!!!!",IF(A27="new.cod","NEWCOD",IF(AND((Z27=""),ISTEXT(A27),A27&lt;&gt;"!!!!!!"),A27,IF(Z27="","",INDEX('liste reference'!$A$6:$A$1174,Z27)))))</f>
        <v>FISCRA</v>
      </c>
      <c r="Z27" s="470" t="n">
        <f aca="false">IF(ISERROR(MATCH(A27,'liste reference'!$A$6:$A$1174,0)),IF(ISERROR(MATCH(A27,'liste reference'!$B$6:$B$1174,0)),"",(MATCH(A27,'liste reference'!$B$6:$B$1174,0))),(MATCH(A27,'liste reference'!$A$6:$A$1174,0)))</f>
        <v>255</v>
      </c>
    </row>
    <row r="28" customFormat="false" ht="12.75" hidden="false" customHeight="false" outlineLevel="0" collapsed="false">
      <c r="A28" s="489" t="s">
        <v>965</v>
      </c>
      <c r="B28" s="490" t="n">
        <v>0.005</v>
      </c>
      <c r="C28" s="491"/>
      <c r="D28" s="492" t="str">
        <f aca="false">IF(ISERROR(VLOOKUP($A28,'liste reference'!$A$6:$B$1174,2,0)),IF(ISERROR(VLOOKUP($A28,'liste reference'!$B$6:$B$1174,1,0)),"",VLOOKUP($A28,'liste reference'!$B$6:$B$1174,1,0)),VLOOKUP($A28,'liste reference'!$A$6:$B$1174,2,0))</f>
        <v>Kindbergia praelonga</v>
      </c>
      <c r="E28" s="493" t="e">
        <f aca="false">IF(D28="",0,VLOOKUP(D28,D$22:D27,1,0))</f>
        <v>#N/A</v>
      </c>
      <c r="F28" s="494" t="n">
        <f aca="false">IF(AND(OR(A28="",A28="!!!!!!"),B28="",C28=""),"",IF(OR(AND(B28="",C28=""),ISERROR(C28+B28)),"!!!",($B28*$B$7+$C28*$C$7)/100))</f>
        <v>0.00075</v>
      </c>
      <c r="G28" s="495" t="str">
        <f aca="false">IF(A28="","",IF(ISERROR(VLOOKUP($A28,'liste reference'!$A$6:$Q$1174,9,0)),IF(ISERROR(VLOOKUP($A28,'liste reference'!$B$6:$Q$1174,8,0)),"    -",VLOOKUP($A28,'liste reference'!$B$6:$Q$1174,8,0)),VLOOKUP($A28,'liste reference'!$A$6:$Q$1174,9,0)))</f>
        <v>BRm</v>
      </c>
      <c r="H28" s="496" t="n">
        <f aca="false">IF(A28="","x",IF(ISERROR(VLOOKUP($A28,'liste reference'!$A$6:$Q$1174,10,0)),IF(ISERROR(VLOOKUP($A28,'liste reference'!$B$6:$Q$1174,9,0)),"x",VLOOKUP($A28,'liste reference'!$B$6:$Q$1174,9,0)),VLOOKUP($A28,'liste reference'!$A$6:$Q$1174,10,0)))</f>
        <v>5</v>
      </c>
      <c r="I28" s="281" t="n">
        <f aca="false">IF(A28="","",1)</f>
        <v>1</v>
      </c>
      <c r="J28" s="497" t="str">
        <f aca="false">IF(ISNUMBER($H28),IF(ISERROR(VLOOKUP($A28,'liste reference'!$A$6:$Q$1174,6,0)),IF(ISERROR(VLOOKUP($A28,'liste reference'!$B$6:$Q$1174,5,0)),"nu",VLOOKUP($A28,'liste reference'!$B$6:$Q$1174,5,0)),VLOOKUP($A28,'liste reference'!$A$6:$Q$1174,6,0)),"nu")</f>
        <v>nc</v>
      </c>
      <c r="K28" s="497" t="str">
        <f aca="false">IF(ISNUMBER($H28),IF(ISERROR(VLOOKUP($A28,'liste reference'!$A$6:$Q$1174,7,0)),IF(ISERROR(VLOOKUP($A28,'liste reference'!$B$6:$Q$1174,6,0)),"nu",VLOOKUP($A28,'liste reference'!$B$6:$Q$1174,6,0)),VLOOKUP($A28,'liste reference'!$A$6:$Q$1174,7,0)),"nu")</f>
        <v>nc</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Kindbergia praelonga</v>
      </c>
      <c r="M28" s="498"/>
      <c r="N28" s="498"/>
      <c r="O28" s="498"/>
      <c r="P28" s="499" t="s">
        <v>3450</v>
      </c>
      <c r="Q28" s="500" t="n">
        <f aca="false">IF(OR($A28="NEWCOD",$A28="!!!!!!"),IF(X28="","NoCod",X28),IF($A28="","",IF(ISERROR(VLOOKUP($A28,'liste reference'!$A$6:$H$1174,8,0)),IF(ISERROR(VLOOKUP($A28,'liste reference'!$B$6:$H$1174,7,0)),"",VLOOKUP($A28,'liste reference'!$B$6:$H$1174,7,0)),VLOOKUP($A28,'liste reference'!$A$6:$H$1174,8,0))))</f>
        <v>30014</v>
      </c>
      <c r="R28" s="484" t="n">
        <f aca="false">IF(ISTEXT(H28),"",(B28*$B$7/100)+(C28*$C$7/100))</f>
        <v>0.00075</v>
      </c>
      <c r="S28" s="485" t="n">
        <f aca="false">IF(OR(ISTEXT(H28),R28=0),"",IF(R28&lt;0.1,1,IF(R28&lt;1,2,IF(R28&lt;10,3,IF(R28&lt;50,4,IF(R28&gt;=50,5,""))))))</f>
        <v>1</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KINPRA</v>
      </c>
      <c r="Z28" s="470" t="n">
        <f aca="false">IF(ISERROR(MATCH(A28,'liste reference'!$A$6:$A$1174,0)),IF(ISERROR(MATCH(A28,'liste reference'!$B$6:$B$1174,0)),"",(MATCH(A28,'liste reference'!$B$6:$B$1174,0))),(MATCH(A28,'liste reference'!$A$6:$A$1174,0)))</f>
        <v>297</v>
      </c>
    </row>
    <row r="29" customFormat="false" ht="12.75" hidden="false" customHeight="false" outlineLevel="0" collapsed="false">
      <c r="A29" s="489" t="s">
        <v>1273</v>
      </c>
      <c r="B29" s="490"/>
      <c r="C29" s="491" t="n">
        <v>0.005</v>
      </c>
      <c r="D29" s="492" t="str">
        <f aca="false">IF(ISERROR(VLOOKUP($A29,'liste reference'!$A$6:$B$1174,2,0)),IF(ISERROR(VLOOKUP($A29,'liste reference'!$B$6:$B$1174,1,0)),"",VLOOKUP($A29,'liste reference'!$B$6:$B$1174,1,0)),VLOOKUP($A29,'liste reference'!$A$6:$B$1174,2,0))</f>
        <v>Equisetum sp.</v>
      </c>
      <c r="E29" s="493" t="e">
        <f aca="false">IF(D29="",0,VLOOKUP(D29,D$22:D28,1,0))</f>
        <v>#N/A</v>
      </c>
      <c r="F29" s="494" t="n">
        <f aca="false">IF(AND(OR(A29="",A29="!!!!!!"),B29="",C29=""),"",IF(OR(AND(B29="",C29=""),ISERROR(C29+B29)),"!!!",($B29*$B$7+$C29*$C$7)/100))</f>
        <v>0.00425</v>
      </c>
      <c r="G29" s="495" t="str">
        <f aca="false">IF(A29="","",IF(ISERROR(VLOOKUP($A29,'liste reference'!$A$6:$Q$1174,9,0)),IF(ISERROR(VLOOKUP($A29,'liste reference'!$B$6:$Q$1174,8,0)),"    -",VLOOKUP($A29,'liste reference'!$B$6:$Q$1174,8,0)),VLOOKUP($A29,'liste reference'!$A$6:$Q$1174,9,0)))</f>
        <v>PTE</v>
      </c>
      <c r="H29" s="496" t="n">
        <f aca="false">IF(A29="","x",IF(ISERROR(VLOOKUP($A29,'liste reference'!$A$6:$Q$1174,10,0)),IF(ISERROR(VLOOKUP($A29,'liste reference'!$B$6:$Q$1174,9,0)),"x",VLOOKUP($A29,'liste reference'!$B$6:$Q$1174,9,0)),VLOOKUP($A29,'liste reference'!$A$6:$Q$1174,10,0)))</f>
        <v>6</v>
      </c>
      <c r="I29" s="281" t="n">
        <f aca="false">IF(A29="","",1)</f>
        <v>1</v>
      </c>
      <c r="J29" s="497" t="str">
        <f aca="false">IF(ISNUMBER($H29),IF(ISERROR(VLOOKUP($A29,'liste reference'!$A$6:$Q$1174,6,0)),IF(ISERROR(VLOOKUP($A29,'liste reference'!$B$6:$Q$1174,5,0)),"nu",VLOOKUP($A29,'liste reference'!$B$6:$Q$1174,5,0)),VLOOKUP($A29,'liste reference'!$A$6:$Q$1174,6,0)),"nu")</f>
        <v>nc</v>
      </c>
      <c r="K29" s="497" t="str">
        <f aca="false">IF(ISNUMBER($H29),IF(ISERROR(VLOOKUP($A29,'liste reference'!$A$6:$Q$1174,7,0)),IF(ISERROR(VLOOKUP($A29,'liste reference'!$B$6:$Q$1174,6,0)),"nu",VLOOKUP($A29,'liste reference'!$B$6:$Q$1174,6,0)),VLOOKUP($A29,'liste reference'!$A$6:$Q$1174,7,0)),"nu")</f>
        <v>nc</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Equisetum sp.</v>
      </c>
      <c r="M29" s="498"/>
      <c r="N29" s="498"/>
      <c r="O29" s="498"/>
      <c r="P29" s="499" t="s">
        <v>3450</v>
      </c>
      <c r="Q29" s="500" t="n">
        <f aca="false">IF(OR($A29="NEWCOD",$A29="!!!!!!"),IF(X29="","NoCod",X29),IF($A29="","",IF(ISERROR(VLOOKUP($A29,'liste reference'!$A$6:$H$1174,8,0)),IF(ISERROR(VLOOKUP($A29,'liste reference'!$B$6:$H$1174,7,0)),"",VLOOKUP($A29,'liste reference'!$B$6:$H$1174,7,0)),VLOOKUP($A29,'liste reference'!$A$6:$H$1174,8,0))))</f>
        <v>1383</v>
      </c>
      <c r="R29" s="484" t="n">
        <f aca="false">IF(ISTEXT(H29),"",(B29*$B$7/100)+(C29*$C$7/100))</f>
        <v>0.00425</v>
      </c>
      <c r="S29" s="485" t="n">
        <f aca="false">IF(OR(ISTEXT(H29),R29=0),"",IF(R29&lt;0.1,1,IF(R29&lt;1,2,IF(R29&lt;10,3,IF(R29&lt;50,4,IF(R29&gt;=50,5,""))))))</f>
        <v>1</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EQUSPX</v>
      </c>
      <c r="Z29" s="470" t="n">
        <f aca="false">IF(ISERROR(MATCH(A29,'liste reference'!$A$6:$A$1174,0)),IF(ISERROR(MATCH(A29,'liste reference'!$B$6:$B$1174,0)),"",(MATCH(A29,'liste reference'!$B$6:$B$1174,0))),(MATCH(A29,'liste reference'!$A$6:$A$1174,0)))</f>
        <v>391</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3450</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3450</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3450</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3450</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3450</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3450</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3450</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3450</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3450</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3450</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3450</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3450</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3450</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3450</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3450</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3450</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3450</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3450</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3450</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3450</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3450</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3450</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3450</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3450</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3450</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3450</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3450</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3450</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3450</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3450</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3450</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3450</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3450</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3450</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3450</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3450</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3450</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3450</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3450</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3450</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3450</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3450</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3450</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3450</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3450</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3450</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3450</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3450</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3450</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3450</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3450</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3450</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3450</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0.025</v>
      </c>
      <c r="G83" s="424"/>
      <c r="H83" s="424"/>
      <c r="I83" s="424"/>
      <c r="J83" s="424"/>
      <c r="K83" s="424"/>
      <c r="L83" s="424"/>
      <c r="M83" s="485"/>
      <c r="N83" s="485"/>
      <c r="O83" s="485"/>
      <c r="P83" s="485"/>
      <c r="Q83" s="485"/>
      <c r="R83" s="485"/>
      <c r="S83" s="485"/>
      <c r="T83" s="485"/>
      <c r="U83" s="485"/>
      <c r="V83" s="485" t="n">
        <f aca="false">SUM(V23:V82)</f>
        <v>10</v>
      </c>
      <c r="W83" s="485"/>
      <c r="X83" s="523"/>
      <c r="Y83" s="523"/>
      <c r="Z83" s="524"/>
    </row>
    <row r="84" customFormat="false" ht="12.75" hidden="true" customHeight="false" outlineLevel="0" collapsed="false">
      <c r="A84" s="518" t="str">
        <f aca="false">A3</f>
        <v>RUISSEAU DE CAMESON</v>
      </c>
      <c r="B84" s="453" t="str">
        <f aca="false">C3</f>
        <v>LE CAMEZON AU LIEU DIT LAMARION</v>
      </c>
      <c r="C84" s="525" t="str">
        <f aca="false">A4</f>
        <v>(Date)</v>
      </c>
      <c r="D84" s="526" t="n">
        <f aca="false">IF(OR(ISERROR(SUM($U$23:$U$82)/SUM($V$23:$V$82)),F7&lt;&gt;100),-1,SUM($U$23:$U$82)/SUM($V$23:$V$82))</f>
        <v>13.4</v>
      </c>
      <c r="E84" s="527" t="n">
        <f aca="false">O13</f>
        <v>7</v>
      </c>
      <c r="F84" s="453" t="n">
        <f aca="false">O14</f>
        <v>5</v>
      </c>
      <c r="G84" s="453" t="n">
        <f aca="false">O15</f>
        <v>1</v>
      </c>
      <c r="H84" s="453" t="n">
        <f aca="false">O16</f>
        <v>3</v>
      </c>
      <c r="I84" s="453" t="n">
        <f aca="false">O17</f>
        <v>1</v>
      </c>
      <c r="J84" s="528" t="n">
        <f aca="false">O8</f>
        <v>12.2</v>
      </c>
      <c r="K84" s="529" t="n">
        <f aca="false">O9</f>
        <v>3.81575680566778</v>
      </c>
      <c r="L84" s="530" t="n">
        <f aca="false">O10</f>
        <v>6</v>
      </c>
      <c r="M84" s="530" t="n">
        <f aca="false">O11</f>
        <v>18</v>
      </c>
      <c r="N84" s="529" t="n">
        <f aca="false">P8</f>
        <v>2</v>
      </c>
      <c r="O84" s="529" t="n">
        <f aca="false">P9</f>
        <v>0.632455532033676</v>
      </c>
      <c r="P84" s="530" t="n">
        <f aca="false">P10</f>
        <v>1</v>
      </c>
      <c r="Q84" s="530" t="n">
        <f aca="false">P11</f>
        <v>3</v>
      </c>
      <c r="R84" s="530" t="n">
        <f aca="false">F21</f>
        <v>0.025</v>
      </c>
      <c r="S84" s="530" t="n">
        <f aca="false">L11</f>
        <v>0</v>
      </c>
      <c r="T84" s="530" t="n">
        <f aca="false">L12</f>
        <v>2</v>
      </c>
      <c r="U84" s="530" t="n">
        <f aca="false">L13</f>
        <v>4</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18</v>
      </c>
      <c r="U87" s="281"/>
      <c r="V87" s="281"/>
    </row>
    <row r="88" customFormat="false" ht="12.75" hidden="true" customHeight="false" outlineLevel="0" collapsed="false">
      <c r="C88" s="534"/>
      <c r="D88" s="534"/>
      <c r="E88" s="534"/>
      <c r="R88" s="281" t="s">
        <v>3453</v>
      </c>
      <c r="S88" s="281"/>
      <c r="T88" s="536" t="n">
        <f aca="false">VLOOKUP($T$91,($A$23:$U$82),21,0)</f>
        <v>54</v>
      </c>
      <c r="U88" s="281"/>
      <c r="V88" s="281" t="n">
        <f aca="false">COUNTIF(V23:V82,T89)</f>
        <v>1</v>
      </c>
    </row>
    <row r="89" customFormat="false" ht="12.75" hidden="true" customHeight="false" outlineLevel="0" collapsed="false">
      <c r="C89" s="534"/>
      <c r="D89" s="534"/>
      <c r="E89" s="534"/>
      <c r="R89" s="281" t="s">
        <v>3454</v>
      </c>
      <c r="S89" s="281"/>
      <c r="T89" s="536" t="n">
        <f aca="false">MAX($V$23:$V$82)</f>
        <v>3</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11.4285714285714</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CRAFIL</v>
      </c>
      <c r="U91" s="281" t="n">
        <f aca="false">IF(ISERROR(MATCH($T$93,'liste reference'!$A$6:$A$1174,0)),MATCH($T$93,'liste reference'!$B$6:$B$1174,0),(MATCH($T$93,'liste reference'!$A$6:$A$1174,0)))</f>
        <v>227</v>
      </c>
      <c r="V91" s="538"/>
    </row>
    <row r="92" customFormat="false" ht="12.75" hidden="true" customHeight="false" outlineLevel="0" collapsed="false">
      <c r="C92" s="534"/>
      <c r="D92" s="534"/>
      <c r="E92" s="534"/>
      <c r="R92" s="281" t="s">
        <v>3457</v>
      </c>
      <c r="S92" s="281"/>
      <c r="T92" s="281" t="n">
        <f aca="false">MATCH(T89,$V$23:$V$82,0)</f>
        <v>4</v>
      </c>
      <c r="U92" s="281"/>
    </row>
    <row r="93" customFormat="false" ht="12.75" hidden="true" customHeight="false" outlineLevel="0" collapsed="false">
      <c r="C93" s="534"/>
      <c r="D93" s="534"/>
      <c r="E93" s="534"/>
      <c r="R93" s="485" t="s">
        <v>3458</v>
      </c>
      <c r="S93" s="281"/>
      <c r="T93" s="485" t="str">
        <f aca="false">INDEX($A$23:$A$82,$T$92)</f>
        <v>CRAFIL</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3459</v>
      </c>
      <c r="B2" s="286"/>
      <c r="C2" s="287" t="s">
        <v>3460</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3461</v>
      </c>
      <c r="B3" s="286"/>
      <c r="C3" s="285" t="s">
        <v>3462</v>
      </c>
      <c r="D3" s="296"/>
      <c r="E3" s="296"/>
      <c r="F3" s="297"/>
      <c r="G3" s="297"/>
      <c r="H3" s="296"/>
      <c r="I3" s="281"/>
      <c r="J3" s="288"/>
      <c r="K3" s="298"/>
      <c r="L3" s="299" t="s">
        <v>3463</v>
      </c>
      <c r="M3" s="300"/>
      <c r="N3" s="301" t="s">
        <v>3464</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3394</v>
      </c>
      <c r="B7" s="341"/>
      <c r="C7" s="342"/>
      <c r="D7" s="330"/>
      <c r="E7" s="330"/>
      <c r="F7" s="343" t="n">
        <f aca="false">B7+C7</f>
        <v>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3400</v>
      </c>
      <c r="B9" s="358"/>
      <c r="C9" s="359"/>
      <c r="D9" s="360"/>
      <c r="E9" s="360"/>
      <c r="F9" s="361" t="n">
        <f aca="false">($B9*$B$7+$C9*$C$7)/100</f>
        <v>0</v>
      </c>
      <c r="G9" s="362"/>
      <c r="H9" s="317"/>
      <c r="I9" s="281"/>
      <c r="J9" s="363"/>
      <c r="K9" s="364"/>
      <c r="L9" s="347"/>
      <c r="M9" s="365"/>
      <c r="N9" s="355" t="s">
        <v>3401</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3402</v>
      </c>
      <c r="B10" s="366"/>
      <c r="C10" s="367"/>
      <c r="D10" s="360"/>
      <c r="E10" s="360"/>
      <c r="F10" s="361"/>
      <c r="G10" s="362"/>
      <c r="H10" s="330"/>
      <c r="I10" s="281"/>
      <c r="J10" s="368"/>
      <c r="K10" s="369" t="s">
        <v>3405</v>
      </c>
      <c r="L10" s="370"/>
      <c r="M10" s="371"/>
      <c r="N10" s="355" t="s">
        <v>3406</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3407</v>
      </c>
      <c r="B11" s="375"/>
      <c r="C11" s="376"/>
      <c r="D11" s="360"/>
      <c r="E11" s="360"/>
      <c r="F11" s="377" t="n">
        <f aca="false">($B11*$B$7+$C11*$C$7)/100</f>
        <v>0</v>
      </c>
      <c r="G11" s="378"/>
      <c r="H11" s="330"/>
      <c r="I11" s="281"/>
      <c r="J11" s="379" t="s">
        <v>3408</v>
      </c>
      <c r="K11" s="379"/>
      <c r="L11" s="380" t="n">
        <f aca="false">COUNTIF($G$23:$G$82,"=HET")</f>
        <v>0</v>
      </c>
      <c r="M11" s="381"/>
      <c r="N11" s="355" t="s">
        <v>3409</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3410</v>
      </c>
      <c r="B12" s="383"/>
      <c r="C12" s="384"/>
      <c r="D12" s="360"/>
      <c r="E12" s="360"/>
      <c r="F12" s="377" t="n">
        <f aca="false">($B12*$B$7+$C12*$C$7)/100</f>
        <v>0</v>
      </c>
      <c r="G12" s="378"/>
      <c r="H12" s="330"/>
      <c r="I12" s="281"/>
      <c r="J12" s="379" t="s">
        <v>3411</v>
      </c>
      <c r="K12" s="379"/>
      <c r="L12" s="380" t="n">
        <f aca="false">COUNTIF($G$23:$G$82,"=ALG")</f>
        <v>1</v>
      </c>
      <c r="M12" s="381"/>
      <c r="N12" s="385"/>
      <c r="O12" s="386" t="s">
        <v>3405</v>
      </c>
      <c r="P12" s="387"/>
      <c r="Q12" s="388"/>
      <c r="R12" s="281"/>
      <c r="S12" s="281"/>
      <c r="T12" s="281"/>
      <c r="U12" s="281"/>
      <c r="V12" s="281"/>
      <c r="W12" s="295"/>
      <c r="X12" s="0"/>
      <c r="Y12" s="0"/>
      <c r="Z12" s="0"/>
    </row>
    <row r="13" customFormat="false" ht="12.75" hidden="false" customHeight="false" outlineLevel="0" collapsed="false">
      <c r="A13" s="382" t="s">
        <v>3412</v>
      </c>
      <c r="B13" s="383"/>
      <c r="C13" s="384"/>
      <c r="D13" s="360"/>
      <c r="E13" s="360"/>
      <c r="F13" s="377" t="n">
        <f aca="false">($B13*$B$7+$C13*$C$7)/100</f>
        <v>0</v>
      </c>
      <c r="G13" s="378"/>
      <c r="H13" s="330"/>
      <c r="I13" s="281"/>
      <c r="J13" s="379" t="s">
        <v>3413</v>
      </c>
      <c r="K13" s="379"/>
      <c r="L13" s="380" t="n">
        <f aca="false">COUNTIF($G$23:$G$82,"=BRm")+COUNTIF($G$23:$G$82,"=BRh")</f>
        <v>0</v>
      </c>
      <c r="M13" s="381"/>
      <c r="N13" s="389" t="s">
        <v>3414</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3415</v>
      </c>
      <c r="B14" s="383"/>
      <c r="C14" s="384"/>
      <c r="D14" s="360"/>
      <c r="E14" s="360"/>
      <c r="F14" s="377" t="n">
        <f aca="false">($B14*$B$7+$C14*$C$7)/100</f>
        <v>0</v>
      </c>
      <c r="G14" s="378"/>
      <c r="H14" s="330"/>
      <c r="I14" s="281"/>
      <c r="J14" s="379" t="s">
        <v>3416</v>
      </c>
      <c r="K14" s="379"/>
      <c r="L14" s="380" t="n">
        <f aca="false">COUNTIF($G$23:$G$82,"=PTE")+COUNTIF($G$23:$G$82,"=LIC")</f>
        <v>0</v>
      </c>
      <c r="M14" s="381"/>
      <c r="N14" s="392" t="s">
        <v>3417</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3418</v>
      </c>
      <c r="B15" s="396"/>
      <c r="C15" s="397"/>
      <c r="D15" s="360"/>
      <c r="E15" s="360"/>
      <c r="F15" s="377" t="n">
        <f aca="false">($B15*$B$7+$C15*$C$7)/100</f>
        <v>0</v>
      </c>
      <c r="G15" s="378"/>
      <c r="H15" s="330"/>
      <c r="I15" s="281"/>
      <c r="J15" s="379" t="s">
        <v>3419</v>
      </c>
      <c r="K15" s="379"/>
      <c r="L15" s="380" t="n">
        <f aca="false">(COUNTIF($G$23:$G$82,"=PHy"))+(COUNTIF($G$23:$G$82,"=PHe"))+(COUNTIF($G$23:$G$82,"=PHg"))+(COUNTIF($G$23:$G$82,"=PHx"))</f>
        <v>0</v>
      </c>
      <c r="M15" s="381"/>
      <c r="N15" s="389" t="s">
        <v>3420</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3421</v>
      </c>
      <c r="B16" s="375"/>
      <c r="C16" s="376"/>
      <c r="D16" s="360"/>
      <c r="E16" s="360"/>
      <c r="F16" s="398"/>
      <c r="G16" s="399" t="n">
        <f aca="false">($B16*$B$7+$C16*$C$7)/100</f>
        <v>0</v>
      </c>
      <c r="H16" s="330"/>
      <c r="I16" s="281"/>
      <c r="J16" s="400"/>
      <c r="K16" s="401"/>
      <c r="L16" s="401"/>
      <c r="M16" s="381"/>
      <c r="N16" s="389" t="s">
        <v>3422</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3423</v>
      </c>
      <c r="B17" s="383"/>
      <c r="C17" s="384"/>
      <c r="D17" s="360"/>
      <c r="E17" s="360"/>
      <c r="F17" s="402"/>
      <c r="G17" s="403" t="n">
        <f aca="false">($B17*$B$7+$C17*$C$7)/100</f>
        <v>0</v>
      </c>
      <c r="H17" s="330"/>
      <c r="I17" s="281"/>
      <c r="J17" s="404"/>
      <c r="K17" s="405"/>
      <c r="L17" s="406" t="s">
        <v>3424</v>
      </c>
      <c r="M17" s="407" t="str">
        <f aca="false">IF(ISERROR((O13-(COUNTIF(J23:J82,"nc")))/O13),"-",(O13-(COUNTIF(J23:J82,"nc")))/O13)</f>
        <v>-</v>
      </c>
      <c r="N17" s="389" t="s">
        <v>3425</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3426</v>
      </c>
      <c r="B18" s="410"/>
      <c r="C18" s="411"/>
      <c r="D18" s="360"/>
      <c r="E18" s="412" t="s">
        <v>3427</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3428</v>
      </c>
      <c r="B20" s="432" t="n">
        <f aca="false">SUM(B23:B82)</f>
        <v>0</v>
      </c>
      <c r="C20" s="433" t="n">
        <f aca="false">SUM(C23:C82)</f>
        <v>0</v>
      </c>
      <c r="D20" s="434"/>
      <c r="E20" s="435" t="s">
        <v>3427</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3429</v>
      </c>
      <c r="B21" s="444" t="n">
        <f aca="false">B20*B7/100</f>
        <v>0</v>
      </c>
      <c r="C21" s="444" t="n">
        <f aca="false">C20*C7/100</f>
        <v>0</v>
      </c>
      <c r="D21" s="445" t="s">
        <v>3430</v>
      </c>
      <c r="E21" s="446"/>
      <c r="F21" s="447" t="n">
        <f aca="false">B21+C21</f>
        <v>0</v>
      </c>
      <c r="G21" s="448"/>
      <c r="H21" s="360"/>
      <c r="I21" s="281"/>
      <c r="J21" s="449"/>
      <c r="K21" s="449"/>
      <c r="L21" s="450"/>
      <c r="M21" s="450"/>
      <c r="N21" s="451"/>
      <c r="O21" s="451"/>
      <c r="P21" s="452"/>
      <c r="Q21" s="443"/>
      <c r="R21" s="281"/>
      <c r="S21" s="281"/>
      <c r="T21" s="453"/>
      <c r="U21" s="453"/>
      <c r="V21" s="281"/>
      <c r="W21" s="454"/>
      <c r="X21" s="455" t="s">
        <v>3431</v>
      </c>
      <c r="Y21" s="0"/>
      <c r="Z21" s="0"/>
    </row>
    <row r="22" customFormat="false" ht="12.75" hidden="false" customHeight="false" outlineLevel="0" collapsed="false">
      <c r="A22" s="456" t="s">
        <v>3432</v>
      </c>
      <c r="B22" s="457" t="s">
        <v>3433</v>
      </c>
      <c r="C22" s="457" t="s">
        <v>3433</v>
      </c>
      <c r="D22" s="458"/>
      <c r="E22" s="459"/>
      <c r="F22" s="460" t="s">
        <v>3434</v>
      </c>
      <c r="G22" s="461" t="s">
        <v>23</v>
      </c>
      <c r="H22" s="360" t="s">
        <v>24</v>
      </c>
      <c r="I22" s="281" t="s">
        <v>3435</v>
      </c>
      <c r="J22" s="462" t="s">
        <v>3436</v>
      </c>
      <c r="K22" s="462" t="s">
        <v>3437</v>
      </c>
      <c r="L22" s="463" t="s">
        <v>3438</v>
      </c>
      <c r="M22" s="463"/>
      <c r="N22" s="463"/>
      <c r="O22" s="463"/>
      <c r="P22" s="455" t="s">
        <v>3439</v>
      </c>
      <c r="Q22" s="464" t="s">
        <v>3440</v>
      </c>
      <c r="R22" s="465" t="s">
        <v>3441</v>
      </c>
      <c r="S22" s="466" t="s">
        <v>3442</v>
      </c>
      <c r="T22" s="467" t="s">
        <v>3443</v>
      </c>
      <c r="U22" s="467" t="s">
        <v>3444</v>
      </c>
      <c r="V22" s="468" t="s">
        <v>3445</v>
      </c>
      <c r="W22" s="469" t="s">
        <v>3446</v>
      </c>
      <c r="X22" s="469" t="s">
        <v>3447</v>
      </c>
      <c r="Y22" s="470" t="s">
        <v>3448</v>
      </c>
      <c r="Z22" s="470" t="s">
        <v>3449</v>
      </c>
    </row>
    <row r="23" customFormat="false" ht="12.75" hidden="false" customHeight="false" outlineLevel="0" collapsed="false">
      <c r="A23" s="471" t="s">
        <v>3465</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3450</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3450</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3450</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3450</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3450</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3450</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3450</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3450</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3450</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3450</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3450</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3450</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3450</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3450</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3450</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3450</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3450</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3450</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3450</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3450</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3450</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3450</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3450</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3450</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3450</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3450</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3450</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3450</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3450</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3450</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3450</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3450</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3450</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3450</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3450</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3450</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3450</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3450</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3450</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3450</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3450</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3450</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3450</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3450</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3450</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3450</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3450</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3450</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3450</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3450</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3450</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3450</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3450</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3450</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3450</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3450</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3450</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3450</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3450</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3450</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0</v>
      </c>
      <c r="U87" s="281"/>
      <c r="V87" s="281"/>
    </row>
    <row r="88" customFormat="false" ht="12.75" hidden="true" customHeight="false" outlineLevel="0" collapsed="false">
      <c r="C88" s="534"/>
      <c r="D88" s="534"/>
      <c r="E88" s="534"/>
      <c r="R88" s="281" t="s">
        <v>3453</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3454</v>
      </c>
      <c r="S89" s="281"/>
      <c r="T89" s="536" t="n">
        <f aca="false">MAX($V$23:$V$82)</f>
        <v>0</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3457</v>
      </c>
      <c r="S92" s="281"/>
      <c r="T92" s="281" t="n">
        <f aca="false">MATCH(T89,$V$23:$V$82,0)</f>
        <v>1</v>
      </c>
      <c r="U92" s="281"/>
    </row>
    <row r="93" customFormat="false" ht="12.75" hidden="true" customHeight="false" outlineLevel="0" collapsed="false">
      <c r="C93" s="534"/>
      <c r="D93" s="534"/>
      <c r="E93" s="534"/>
      <c r="R93" s="485" t="s">
        <v>3458</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3466</v>
      </c>
      <c r="B1" s="541"/>
      <c r="C1" s="541"/>
      <c r="D1" s="541"/>
      <c r="E1" s="542" t="s">
        <v>3467</v>
      </c>
      <c r="F1" s="543" t="s">
        <v>3468</v>
      </c>
      <c r="G1" s="544"/>
      <c r="H1" s="544"/>
      <c r="I1" s="545"/>
      <c r="J1" s="545"/>
      <c r="K1" s="545"/>
      <c r="L1" s="546"/>
    </row>
    <row r="2" customFormat="false" ht="15" hidden="false" customHeight="false" outlineLevel="0" collapsed="false">
      <c r="A2" s="547" t="s">
        <v>3469</v>
      </c>
      <c r="B2" s="548"/>
      <c r="C2" s="549"/>
      <c r="D2" s="549"/>
      <c r="E2" s="550"/>
      <c r="F2" s="543" t="s">
        <v>3470</v>
      </c>
      <c r="G2" s="544"/>
      <c r="H2" s="544"/>
      <c r="I2" s="545"/>
      <c r="J2" s="545"/>
      <c r="K2" s="545"/>
      <c r="L2" s="546"/>
    </row>
    <row r="3" customFormat="false" ht="15.75" hidden="false" customHeight="false" outlineLevel="0" collapsed="false">
      <c r="A3" s="547" t="s">
        <v>3471</v>
      </c>
      <c r="B3" s="548"/>
      <c r="C3" s="549"/>
      <c r="D3" s="551" t="s">
        <v>3472</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3473</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3474</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3475</v>
      </c>
      <c r="G17" s="570"/>
      <c r="H17" s="571" t="s">
        <v>3476</v>
      </c>
      <c r="I17" s="570"/>
    </row>
    <row r="18" customFormat="false" ht="15" hidden="false" customHeight="false" outlineLevel="0" collapsed="false">
      <c r="A18" s="563"/>
      <c r="B18" s="566" t="s">
        <v>2963</v>
      </c>
      <c r="C18" s="567"/>
      <c r="D18" s="568"/>
      <c r="F18" s="572" t="s">
        <v>3477</v>
      </c>
      <c r="G18" s="573"/>
      <c r="H18" s="572" t="s">
        <v>3477</v>
      </c>
      <c r="I18" s="574"/>
    </row>
    <row r="19" customFormat="false" ht="15" hidden="false" customHeight="false" outlineLevel="0" collapsed="false">
      <c r="A19" s="563"/>
      <c r="B19" s="566" t="s">
        <v>2965</v>
      </c>
      <c r="C19" s="567"/>
      <c r="D19" s="568"/>
      <c r="F19" s="575" t="s">
        <v>3478</v>
      </c>
      <c r="G19" s="8"/>
      <c r="H19" s="575" t="s">
        <v>3478</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3479</v>
      </c>
      <c r="G21" s="8"/>
      <c r="H21" s="575" t="s">
        <v>3479</v>
      </c>
      <c r="I21" s="576"/>
    </row>
    <row r="22" customFormat="false" ht="15" hidden="false" customHeight="false" outlineLevel="0" collapsed="false">
      <c r="A22" s="563"/>
      <c r="B22" s="566" t="s">
        <v>2971</v>
      </c>
      <c r="C22" s="567"/>
      <c r="D22" s="568"/>
      <c r="F22" s="575" t="s">
        <v>3480</v>
      </c>
      <c r="G22" s="8"/>
      <c r="H22" s="575" t="s">
        <v>3480</v>
      </c>
      <c r="I22" s="576"/>
    </row>
    <row r="23" customFormat="false" ht="15" hidden="false" customHeight="false" outlineLevel="0" collapsed="false">
      <c r="A23" s="563"/>
      <c r="B23" s="566" t="s">
        <v>1933</v>
      </c>
      <c r="C23" s="567"/>
      <c r="D23" s="568"/>
      <c r="F23" s="575" t="s">
        <v>3481</v>
      </c>
      <c r="G23" s="8"/>
      <c r="H23" s="575" t="s">
        <v>3481</v>
      </c>
      <c r="I23" s="576"/>
    </row>
    <row r="24" customFormat="false" ht="15" hidden="false" customHeight="false" outlineLevel="0" collapsed="false">
      <c r="A24" s="563"/>
      <c r="B24" s="566" t="s">
        <v>2973</v>
      </c>
      <c r="C24" s="567"/>
      <c r="D24" s="568"/>
      <c r="F24" s="575" t="s">
        <v>3482</v>
      </c>
      <c r="G24" s="8"/>
      <c r="H24" s="575" t="s">
        <v>3482</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3483</v>
      </c>
      <c r="G26" s="8"/>
      <c r="H26" s="575" t="s">
        <v>3483</v>
      </c>
      <c r="I26" s="576"/>
    </row>
    <row r="27" customFormat="false" ht="15" hidden="false" customHeight="false" outlineLevel="0" collapsed="false">
      <c r="A27" s="563"/>
      <c r="B27" s="566" t="s">
        <v>1329</v>
      </c>
      <c r="C27" s="567"/>
      <c r="D27" s="568"/>
      <c r="F27" s="577" t="s">
        <v>3484</v>
      </c>
      <c r="G27" s="578"/>
      <c r="H27" s="577" t="s">
        <v>3484</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3485</v>
      </c>
    </row>
    <row r="31" customFormat="false" ht="15" hidden="false" customHeight="false" outlineLevel="0" collapsed="false">
      <c r="A31" s="563"/>
      <c r="B31" s="566" t="s">
        <v>2323</v>
      </c>
      <c r="C31" s="567"/>
      <c r="D31" s="568"/>
      <c r="F31" s="581" t="s">
        <v>3486</v>
      </c>
    </row>
    <row r="32" customFormat="false" ht="15" hidden="false" customHeight="false" outlineLevel="0" collapsed="false">
      <c r="A32" s="563"/>
      <c r="B32" s="566" t="s">
        <v>2325</v>
      </c>
      <c r="C32" s="567"/>
      <c r="D32" s="568"/>
      <c r="F32" s="582" t="s">
        <v>3450</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3487</v>
      </c>
    </row>
    <row r="37" customFormat="false" ht="15" hidden="false" customHeight="false" outlineLevel="0" collapsed="false">
      <c r="A37" s="563"/>
      <c r="B37" s="566" t="s">
        <v>2979</v>
      </c>
      <c r="C37" s="567"/>
      <c r="D37" s="568"/>
      <c r="F37" s="581" t="s">
        <v>3404</v>
      </c>
    </row>
    <row r="38" customFormat="false" ht="15" hidden="false" customHeight="false" outlineLevel="0" collapsed="false">
      <c r="A38" s="563"/>
      <c r="B38" s="566" t="s">
        <v>2981</v>
      </c>
      <c r="C38" s="567"/>
      <c r="D38" s="568"/>
      <c r="F38" s="583" t="s">
        <v>3403</v>
      </c>
    </row>
    <row r="39" customFormat="false" ht="15" hidden="false" customHeight="false" outlineLevel="0" collapsed="false">
      <c r="A39" s="563"/>
      <c r="B39" s="566" t="s">
        <v>2983</v>
      </c>
      <c r="C39" s="567"/>
      <c r="D39" s="568"/>
      <c r="F39" s="583" t="s">
        <v>3488</v>
      </c>
    </row>
    <row r="40" customFormat="false" ht="15" hidden="false" customHeight="false" outlineLevel="0" collapsed="false">
      <c r="A40" s="563"/>
      <c r="B40" s="566" t="s">
        <v>624</v>
      </c>
      <c r="C40" s="567"/>
      <c r="D40" s="568"/>
      <c r="F40" s="583" t="s">
        <v>3489</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3490</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3491</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3492</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3493</v>
      </c>
    </row>
    <row r="1188" customFormat="false" ht="15" hidden="false" customHeight="false" outlineLevel="0" collapsed="false">
      <c r="A1188" s="563"/>
      <c r="B1188" s="566" t="s">
        <v>3494</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3495</v>
      </c>
    </row>
    <row r="1229" customFormat="false" ht="15" hidden="false" customHeight="false" outlineLevel="0" collapsed="false">
      <c r="A1229" s="563"/>
      <c r="B1229" s="566" t="s">
        <v>3496</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Geoffroy Seveno</cp:lastModifiedBy>
  <cp:lastPrinted>2015-05-20T11:23:22Z</cp:lastPrinted>
  <dcterms:modified xsi:type="dcterms:W3CDTF">2017-02-20T09:35:56Z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