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5121000" sheetId="6" state="visible" r:id="rId8"/>
    <sheet name="jgjg" sheetId="7" state="hidden" r:id="rId9"/>
    <sheet name="liste codes réf" sheetId="8" state="hidden" r:id="rId10"/>
  </sheets>
  <definedNames>
    <definedName function="false" hidden="false" localSheetId="5" name="_xlnm.Print_Area" vbProcedure="false">'05121000'!$A$1:$Q$82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1" name="_xlnm._FilterDatabase" vbProcedure="false">'liste reference'!$A$5:$Q$1174</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_xlnm._FilterDatabase" vbProcedure="false">'05121000'!$A$1:$C$1415</definedName>
    <definedName function="false" hidden="false" localSheetId="6" name="_xlnm._FilterDatabase" vbProcedure="false">jgjg!$A$1:$C$1415</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11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11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<sst xmlns="http://schemas.openxmlformats.org/spreadsheetml/2006/main" count="8846" uniqueCount="3497">
  <si>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</si>
  <si>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</si>
  <si>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</si>
  <si>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</si>
  <si>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</si>
  <si>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</si>
  <si>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</si>
  <si>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</si>
  <si>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</si>
  <si>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</si>
  <si>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</si>
  <si>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</si>
  <si>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</si>
  <si>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</si>
  <si>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</si>
  <si>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</si>
  <si>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</si>
  <si>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</si>
  <si>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</si>
  <si>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</si>
  <si>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</si>
  <si>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</si>
  <si>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</si>
  <si>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</si>
  <si>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</si>
  <si>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</si>
  <si>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</si>
  <si>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</si>
  <si>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</si>
  <si>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</si>
  <si>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</si>
  <si>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</si>
  <si>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</si>
  <si>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</si>
  <si>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</si>
  <si>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</si>
  <si>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</si>
  <si>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</si>
  <si>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</si>
  <si>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</si>
  <si>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</si>
  <si>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</si>
  <si>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</si>
  <si>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</si>
  <si>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</si>
  <si>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</si>
  <si>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</si>
  <si>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</si>
  <si>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</si>
  <si>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</si>
  <si>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</si>
  <si>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</si>
  <si>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</si>
  <si>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</si>
  <si>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</si>
  <si>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</si>
  <si>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</si>
  <si>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</si>
  <si>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</si>
  <si>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</si>
  <si>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</si>
  <si>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</si>
  <si>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</si>
  <si>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</si>
  <si>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</si>
  <si>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</si>
  <si>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</si>
  <si>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</si>
  <si>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</si>
  <si>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</si>
  <si>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</si>
  <si>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</si>
  <si>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</si>
  <si>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</si>
  <si>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</si>
  <si>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</si>
  <si>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</si>
  <si>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</si>
  <si>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</si>
  <si>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</si>
  <si>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</si>
  <si>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</si>
  <si>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</si>
  <si>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</si>
  <si>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</si>
  <si>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</si>
  <si>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</si>
  <si>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</si>
  <si>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</si>
  <si>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</si>
  <si>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</si>
  <si>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</si>
  <si>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</si>
  <si>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</si>
  <si>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</si>
  <si>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</si>
  <si>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</si>
  <si>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</si>
  <si>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</si>
  <si>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</si>
  <si>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</si>
  <si>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</si>
  <si>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</si>
  <si>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</si>
  <si>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</si>
  <si>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</si>
  <si>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</si>
  <si>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</si>
  <si>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</si>
  <si>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</si>
  <si>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</si>
  <si>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</si>
  <si>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</si>
  <si>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</si>
  <si>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</si>
  <si>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</si>
  <si>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</si>
  <si>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</si>
  <si>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</si>
  <si>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</si>
  <si>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</si>
  <si>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</si>
  <si>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</si>
  <si>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</si>
  <si>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</si>
  <si>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</si>
  <si>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</si>
  <si>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</si>
  <si>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</si>
  <si>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</si>
  <si>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</si>
  <si>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</si>
  <si>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</si>
  <si>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</si>
  <si>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</si>
  <si>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</si>
  <si>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</si>
  <si>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</si>
  <si>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</si>
  <si>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</si>
  <si>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</si>
  <si>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</si>
  <si>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</si>
  <si>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</si>
  <si>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</si>
  <si>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</si>
  <si>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</si>
  <si>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</si>
  <si>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</si>
  <si>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</si>
  <si>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</si>
  <si>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</si>
  <si>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</si>
  <si>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</si>
  <si>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</si>
  <si>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</si>
  <si>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</si>
  <si>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</si>
  <si>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</si>
  <si>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</si>
  <si>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</si>
  <si>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</si>
  <si>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</si>
  <si>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</si>
  <si>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</si>
  <si>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</si>
  <si>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</si>
  <si>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</si>
  <si>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</si>
  <si>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</si>
  <si>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</si>
  <si>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</si>
  <si>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</si>
  <si>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</si>
  <si>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</si>
  <si>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</si>
  <si>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</si>
  <si>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</si>
  <si>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</si>
  <si>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</si>
  <si>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</si>
  <si>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</si>
  <si>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</si>
  <si>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</si>
  <si>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</si>
  <si>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</si>
  <si>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</si>
  <si>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</si>
  <si>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</si>
  <si>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</si>
  <si>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</si>
  <si>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</si>
  <si>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</si>
  <si>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</si>
  <si>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</si>
  <si>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</si>
  <si>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</si>
  <si>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</si>
  <si>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</si>
  <si>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</si>
  <si>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</si>
  <si>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</si>
  <si>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</si>
  <si>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</si>
  <si>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</si>
  <si>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</si>
  <si>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</si>
  <si>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</si>
  <si>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</si>
  <si>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</si>
  <si>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</si>
  <si>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</si>
  <si>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</si>
  <si>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</si>
  <si>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</si>
  <si>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</si>
  <si>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</si>
  <si>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</si>
  <si>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</si>
  <si>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</si>
  <si>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</si>
  <si>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</si>
  <si>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</si>
  <si>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</si>
  <si>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</si>
  <si>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</si>
  <si>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</si>
  <si>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</si>
  <si>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</si>
  <si>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</si>
  <si>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</si>
  <si>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</si>
  <si>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</si>
  <si>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</si>
  <si>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</si>
  <si>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</si>
  <si>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</si>
  <si>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</si>
  <si>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</si>
  <si>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</si>
  <si>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</si>
  <si>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</si>
  <si>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</si>
  <si>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</si>
  <si>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</si>
  <si>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</si>
  <si>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</si>
  <si>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</si>
  <si>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</si>
  <si>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</si>
  <si>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</si>
  <si>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</si>
  <si>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</si>
  <si>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</si>
  <si>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</si>
  <si>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</si>
  <si>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</si>
  <si>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</si>
  <si>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</si>
  <si>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</si>
  <si>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</si>
  <si>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</si>
  <si>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</si>
  <si>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</si>
  <si>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</si>
  <si>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</si>
  <si>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</si>
  <si>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</si>
  <si>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</si>
  <si>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</si>
  <si>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</si>
  <si>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</si>
  <si>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</si>
  <si>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</si>
  <si>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</si>
  <si>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</si>
  <si>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</si>
  <si>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</si>
  <si>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</si>
  <si>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</si>
  <si>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</si>
  <si>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</si>
  <si>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</si>
  <si>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</si>
  <si>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</si>
  <si>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</si>
  <si>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</si>
  <si>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</si>
  <si>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</si>
  <si>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</si>
  <si>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</si>
  <si>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</si>
  <si>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</si>
  <si>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</si>
  <si>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</si>
  <si>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</si>
  <si>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</si>
  <si>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</si>
  <si>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</si>
  <si>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</si>
  <si>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</si>
  <si>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</si>
  <si>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</si>
  <si>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</si>
  <si>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</si>
  <si>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</si>
  <si>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</si>
  <si>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</si>
  <si>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</si>
  <si>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</si>
  <si>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</si>
  <si>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</si>
  <si>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</si>
  <si>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</si>
  <si>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</si>
  <si>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</si>
  <si>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</si>
  <si>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</si>
  <si>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</si>
  <si>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</si>
  <si>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</si>
  <si>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</si>
  <si>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</si>
  <si>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</si>
  <si>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</si>
  <si>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</si>
  <si>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</si>
  <si>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</si>
  <si>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</si>
  <si>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</si>
  <si>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</si>
  <si>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</si>
  <si>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</si>
  <si>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</si>
  <si>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</si>
  <si>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</si>
  <si>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</si>
  <si>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</si>
  <si>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</si>
  <si>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</si>
  <si>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</si>
  <si>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</si>
  <si>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</si>
  <si>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</si>
  <si>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</si>
  <si>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</si>
  <si>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</si>
  <si>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</si>
  <si>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</si>
  <si>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</si>
  <si>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</si>
  <si>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</si>
  <si>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</si>
  <si>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</si>
  <si>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</si>
  <si>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</si>
  <si>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</si>
  <si>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</si>
  <si>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</si>
  <si>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</si>
  <si>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</si>
  <si>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</si>
  <si>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</si>
  <si>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</si>
  <si>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</si>
  <si>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</si>
  <si>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</si>
  <si>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</si>
  <si>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</si>
  <si>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</si>
  <si>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</si>
  <si>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</si>
  <si>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</si>
  <si>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</si>
  <si>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</si>
  <si>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</si>
  <si>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</si>
  <si>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</si>
  <si>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</si>
  <si>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</si>
  <si>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</si>
  <si>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</si>
  <si>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</si>
  <si>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</si>
  <si>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</si>
  <si>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</si>
  <si>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</si>
  <si>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</si>
  <si>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</si>
  <si>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</si>
  <si>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</si>
  <si>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</si>
  <si>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</si>
  <si>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</si>
  <si>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</si>
  <si>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</si>
  <si>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</si>
  <si>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</si>
  <si>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</si>
  <si>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</si>
  <si>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</si>
  <si>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</si>
  <si>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</si>
  <si>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</si>
  <si>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</si>
  <si>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</si>
  <si>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</si>
  <si>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</si>
  <si>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</si>
  <si>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</si>
  <si>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</si>
  <si>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</si>
  <si>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</si>
  <si>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</si>
  <si>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</si>
  <si>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</si>
  <si>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</si>
  <si>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</si>
  <si>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</si>
  <si>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</si>
  <si>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</si>
  <si>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</si>
  <si>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</si>
  <si>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</si>
  <si>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</si>
  <si>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</si>
  <si>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</si>
  <si>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</si>
  <si>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</si>
  <si>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</si>
  <si>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</si>
  <si>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</si>
  <si>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</si>
  <si>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</si>
  <si>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</si>
  <si>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</si>
  <si>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</si>
  <si>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</si>
  <si>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</si>
  <si>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</si>
  <si>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</si>
  <si>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</si>
  <si>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</si>
  <si>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</si>
  <si>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</si>
  <si>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</si>
  <si>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</si>
  <si>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</si>
  <si>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</si>
  <si>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</si>
  <si>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</si>
  <si>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</si>
  <si>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</si>
  <si>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</si>
  <si>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</si>
  <si>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</si>
  <si>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</si>
  <si>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</si>
  <si>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</si>
  <si>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</si>
  <si>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</si>
  <si>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</si>
  <si>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</si>
  <si>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</si>
  <si>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</si>
  <si>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</si>
  <si>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</si>
  <si>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</si>
  <si>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</si>
  <si>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</si>
  <si>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</si>
  <si>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</si>
  <si>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</si>
  <si>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</si>
  <si>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</si>
  <si>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</si>
  <si>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</si>
  <si>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</si>
  <si>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</si>
  <si>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</si>
  <si>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</si>
  <si>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</si>
  <si>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</si>
  <si>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</si>
  <si>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</si>
  <si>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</si>
  <si>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</si>
  <si>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</si>
  <si>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</si>
  <si>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</si>
  <si>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</si>
  <si>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</si>
  <si>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</si>
  <si>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</si>
  <si>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</si>
  <si>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</si>
  <si>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</si>
  <si>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</si>
  <si>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</si>
  <si>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</si>
  <si>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</si>
  <si>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</si>
  <si>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</si>
  <si>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</si>
  <si>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</si>
  <si>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</si>
  <si>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</si>
  <si>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</si>
  <si>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</si>
  <si>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</si>
  <si>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</si>
  <si>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</si>
  <si>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</si>
  <si>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</si>
  <si>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</si>
  <si>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</si>
  <si>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</si>
  <si>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</si>
  <si>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</si>
  <si>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</si>
  <si>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</si>
  <si>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</si>
  <si>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</si>
  <si>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</si>
  <si>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</si>
  <si>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</si>
  <si>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</si>
  <si>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</si>
  <si>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</si>
  <si>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</si>
  <si>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</si>
  <si>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</si>
  <si>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</si>
  <si>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</si>
  <si>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</si>
  <si>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</si>
  <si>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</si>
  <si>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</si>
  <si>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</si>
  <si>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</si>
  <si>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</si>
  <si>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</si>
  <si>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</si>
  <si>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</si>
  <si>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</si>
  <si>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</si>
  <si>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</si>
  <si>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</si>
  <si>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</si>
  <si>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</si>
  <si>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</si>
  <si>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</si>
  <si>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</si>
  <si>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</si>
  <si>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</si>
  <si>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</si>
  <si>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</si>
  <si>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</si>
  <si>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</si>
  <si>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</si>
  <si>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</si>
  <si>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</si>
  <si>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</si>
  <si>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</si>
  <si>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</si>
  <si>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</si>
  <si>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</si>
  <si>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</si>
  <si>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</si>
  <si>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</si>
  <si>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</si>
  <si>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</si>
  <si>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</si>
  <si>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</si>
  <si>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</si>
  <si>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</si>
  <si>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</si>
  <si>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</si>
  <si>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</si>
  <si>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</si>
  <si>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</si>
  <si>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</si>
  <si>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</si>
  <si>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</si>
  <si>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</si>
  <si>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</si>
  <si>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</si>
  <si>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</si>
  <si>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</si>
  <si>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</si>
  <si>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</si>
  <si>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</si>
  <si>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</si>
  <si>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</si>
  <si>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</si>
  <si>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</si>
  <si>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</si>
  <si>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</si>
  <si>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</si>
  <si>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</si>
  <si>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</si>
  <si>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</si>
  <si>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</si>
  <si>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</si>
  <si>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</si>
  <si>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</si>
  <si>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</si>
  <si>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</si>
  <si>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</si>
  <si>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</si>
  <si>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</si>
  <si>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</si>
  <si>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</si>
  <si>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</si>
  <si>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</si>
  <si>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</si>
  <si>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</si>
  <si>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</si>
  <si>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</si>
  <si>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</si>
  <si>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</si>
  <si>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</si>
  <si>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</si>
  <si>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</si>
  <si>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</si>
  <si>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</si>
  <si>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</si>
  <si>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</si>
  <si>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</si>
  <si>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</si>
  <si>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</si>
  <si>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</si>
  <si>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</si>
  <si>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</si>
  <si>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</si>
  <si>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</si>
  <si>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</si>
  <si>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</si>
  <si>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</si>
  <si>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</si>
  <si>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</si>
  <si>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</si>
  <si>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</si>
  <si>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</si>
  <si>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</si>
  <si>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</si>
  <si>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</si>
  <si>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</si>
  <si>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</si>
  <si>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</si>
  <si>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</si>
  <si>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</si>
  <si>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</si>
  <si>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</si>
  <si>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</si>
  <si>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</si>
  <si>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</si>
  <si>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</si>
  <si>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</si>
  <si>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</si>
  <si>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</si>
  <si>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</si>
  <si>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</si>
  <si>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</si>
  <si>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</si>
  <si>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</si>
  <si>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</si>
  <si>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</si>
  <si>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</si>
  <si>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</si>
  <si>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</si>
  <si>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</si>
  <si>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</si>
  <si>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</si>
  <si>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</si>
  <si>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</si>
  <si>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</si>
  <si>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</si>
  <si>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</si>
  <si>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</si>
  <si>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</si>
  <si>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</si>
  <si>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</si>
  <si>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</si>
  <si>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</si>
  <si>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</si>
  <si>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</si>
  <si>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</si>
  <si>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</si>
  <si>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</si>
  <si>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</si>
  <si>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</si>
  <si>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</si>
  <si>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</si>
  <si>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</si>
  <si>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</si>
  <si>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</si>
  <si>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</si>
  <si>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</si>
  <si>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</si>
  <si>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</si>
  <si>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</si>
  <si>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</si>
  <si>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</si>
  <si>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</si>
  <si>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</si>
  <si>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</si>
  <si>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</si>
  <si>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</si>
  <si>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</si>
  <si>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</si>
  <si>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</si>
  <si>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</si>
  <si>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</si>
  <si>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</si>
  <si>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</si>
  <si>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</si>
  <si>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</si>
  <si>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</si>
  <si>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</si>
  <si>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</si>
  <si>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</si>
  <si>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</si>
  <si>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</si>
  <si>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</si>
  <si>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</si>
  <si>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</si>
  <si>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</si>
  <si>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</si>
  <si>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</si>
  <si>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</si>
  <si>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</si>
  <si>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</si>
  <si>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</si>
  <si>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</si>
  <si>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</si>
  <si>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</si>
  <si>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</si>
  <si>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</si>
  <si>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</si>
  <si>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</si>
  <si>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</si>
  <si>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</si>
  <si>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</si>
  <si>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</si>
  <si>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</si>
  <si>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</si>
  <si>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</si>
  <si>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</si>
  <si>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</si>
  <si>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</si>
  <si>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</si>
  <si>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</si>
  <si>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</si>
  <si>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</si>
  <si>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</si>
  <si>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</si>
  <si>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</si>
  <si>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</si>
  <si>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</si>
  <si>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</si>
  <si>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</si>
  <si>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</si>
  <si>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</si>
  <si>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</si>
  <si>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</si>
  <si>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</si>
  <si>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</si>
  <si>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</si>
  <si>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</si>
  <si>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</si>
  <si>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</si>
  <si>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</si>
  <si>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</si>
  <si>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</si>
  <si>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</si>
  <si>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</si>
  <si>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</si>
  <si>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</si>
  <si>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</si>
  <si>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</si>
  <si>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</si>
  <si>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</si>
  <si>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</si>
  <si>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</si>
  <si>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</si>
  <si>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</si>
  <si>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</si>
  <si>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</si>
  <si>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</si>
  <si>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</si>
  <si>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</si>
  <si>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</si>
  <si>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</si>
  <si>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</si>
  <si>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</si>
  <si>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</si>
  <si>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</si>
  <si>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</si>
  <si>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</si>
  <si>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</si>
  <si>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</si>
  <si>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</si>
  <si>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</si>
  <si>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</si>
  <si>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</si>
  <si>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</si>
  <si>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</si>
  <si>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</si>
  <si>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</si>
  <si>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</si>
  <si>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</si>
  <si>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</si>
  <si>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</si>
  <si>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</si>
  <si>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</si>
  <si>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</si>
  <si>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</si>
  <si>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</si>
  <si>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</si>
  <si>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</si>
  <si>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</si>
  <si>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</si>
  <si>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</si>
  <si>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</si>
  <si>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</si>
  <si>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</si>
  <si>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</si>
  <si>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</si>
  <si>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</si>
  <si>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</si>
  <si>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</si>
  <si>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</si>
  <si>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</si>
  <si>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</si>
  <si>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</si>
  <si>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</si>
  <si>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</si>
  <si>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</si>
  <si>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</si>
  <si>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</si>
  <si>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</si>
  <si>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</si>
  <si>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</si>
  <si>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</si>
  <si>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</si>
  <si>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</si>
  <si>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</si>
  <si>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</si>
  <si>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</si>
  <si>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</si>
  <si>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</si>
  <si>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</si>
  <si>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</si>
  <si>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</si>
  <si>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</si>
  <si>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</si>
  <si>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</si>
  <si>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</si>
  <si>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</si>
  <si>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</si>
  <si>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</si>
  <si>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</si>
  <si>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</si>
  <si>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</si>
  <si>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</si>
  <si>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</si>
  <si>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</si>
  <si>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</si>
  <si>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</si>
  <si>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</si>
  <si>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</si>
  <si>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</si>
  <si>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</si>
  <si>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</si>
  <si>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</si>
  <si>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</si>
  <si>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</si>
  <si>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</si>
  <si>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</si>
  <si>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</si>
  <si>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</si>
  <si>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</si>
  <si>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</si>
  <si>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</si>
  <si>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</si>
  <si>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</si>
  <si>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</si>
  <si>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</si>
  <si>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</si>
  <si>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</si>
  <si>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</si>
  <si>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</si>
  <si>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</si>
  <si>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</si>
  <si>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</si>
  <si>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</si>
  <si>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</si>
  <si>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</si>
  <si>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</si>
  <si>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</si>
  <si>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</si>
  <si>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</si>
  <si>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</si>
  <si>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</si>
  <si>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</si>
  <si>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</si>
  <si>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</si>
  <si>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</si>
  <si>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</si>
  <si>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</si>
  <si>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</si>
  <si>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</si>
  <si>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</si>
  <si>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</si>
  <si>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</si>
  <si>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</si>
  <si>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</si>
  <si>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</si>
  <si>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</si>
  <si>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</si>
  <si>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</si>
  <si>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</si>
  <si>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</si>
  <si>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</si>
  <si>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</si>
  <si>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</si>
  <si>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</si>
  <si>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</si>
  <si>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</si>
  <si>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</si>
  <si>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</si>
  <si>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</si>
  <si>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</si>
  <si>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</si>
  <si>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</si>
  <si>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</si>
  <si>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</si>
  <si>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</si>
  <si>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</si>
  <si>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</si>
  <si>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</si>
  <si>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</si>
  <si>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</si>
  <si>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</si>
  <si>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</si>
  <si>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</si>
  <si>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</si>
  <si>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</si>
  <si>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</si>
  <si>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</si>
  <si>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</si>
  <si>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</si>
  <si>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</si>
  <si>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</si>
  <si>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</si>
  <si>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</si>
  <si>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</si>
  <si>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</si>
  <si>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</si>
  <si>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</si>
  <si>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</si>
  <si>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</si>
  <si>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</si>
  <si>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</si>
  <si>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</si>
  <si>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</si>
  <si>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</si>
  <si>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</si>
  <si>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</si>
  <si>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</si>
  <si>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</si>
  <si>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</si>
  <si>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</si>
  <si>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</si>
  <si>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</si>
  <si>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</si>
  <si>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</si>
  <si>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</si>
  <si>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</si>
  <si>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</si>
  <si>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</si>
  <si>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</si>
  <si>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</si>
  <si>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</si>
  <si>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</si>
  <si>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</si>
  <si>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</si>
  <si>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</si>
  <si>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</si>
  <si>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</si>
  <si>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</si>
  <si>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</si>
  <si>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</si>
  <si>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</si>
  <si>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</si>
  <si>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</si>
  <si>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</si>
  <si>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</si>
  <si>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</si>
  <si>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</si>
  <si>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</si>
  <si>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</si>
  <si>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</si>
  <si>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</si>
  <si>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</si>
  <si>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</si>
  <si>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</si>
  <si>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</si>
  <si>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</si>
  <si>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</si>
  <si>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</si>
  <si>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</si>
  <si>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</si>
  <si>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</si>
  <si>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</si>
  <si>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</si>
  <si>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</si>
  <si>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</si>
  <si>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</si>
  <si>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</si>
  <si>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</si>
  <si>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</si>
  <si>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</si>
  <si>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</si>
  <si>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</si>
  <si>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</si>
  <si>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</si>
  <si>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</si>
  <si>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</si>
  <si>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</si>
  <si>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</si>
  <si>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</si>
  <si>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</si>
  <si>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</si>
  <si>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</si>
  <si>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</si>
  <si>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</si>
  <si>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</si>
  <si>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</si>
  <si>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</si>
  <si>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</si>
  <si>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</si>
  <si>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</si>
  <si>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</si>
  <si>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</si>
  <si>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</si>
  <si>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</si>
  <si>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</si>
  <si>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</si>
  <si>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</si>
  <si>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</si>
  <si>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</si>
  <si>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</si>
  <si>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</si>
  <si>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</si>
  <si>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</si>
  <si>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</si>
  <si>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</si>
  <si>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</si>
  <si>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</si>
  <si>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</si>
  <si>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</si>
  <si>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</si>
  <si>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</si>
  <si>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</si>
  <si>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</si>
  <si>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</si>
  <si>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</si>
  <si>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</si>
  <si>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</si>
  <si>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</si>
  <si>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</si>
  <si>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</si>
  <si>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</si>
  <si>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</si>
  <si>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</si>
  <si>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</si>
  <si>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</si>
  <si>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</si>
  <si>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</si>
  <si>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</si>
  <si>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</si>
  <si>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</si>
  <si>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</si>
  <si>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</si>
  <si>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</si>
  <si>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</si>
  <si>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</si>
  <si>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</si>
  <si>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</si>
  <si>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</si>
  <si>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</si>
  <si>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</si>
  <si>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</si>
  <si>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</si>
  <si>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</si>
  <si>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</si>
  <si>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</si>
  <si>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</si>
  <si>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</si>
  <si>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</si>
  <si>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</si>
  <si>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</si>
  <si>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</si>
  <si>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</si>
  <si>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</si>
  <si>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</si>
  <si>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</si>
  <si>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</si>
  <si>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</si>
  <si>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</si>
  <si>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</si>
  <si>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</si>
  <si>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</si>
  <si>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</si>
  <si>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</si>
  <si>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</si>
  <si>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</si>
  <si>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</si>
  <si>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</si>
  <si>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</si>
  <si>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</si>
  <si>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</si>
  <si>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</si>
  <si>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</si>
  <si>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</si>
  <si>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</si>
  <si>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</si>
  <si>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</si>
  <si>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</si>
  <si>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</si>
  <si>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</si>
  <si>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</si>
  <si>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</si>
  <si>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</si>
  <si>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</si>
  <si>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</si>
  <si>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</si>
  <si>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</si>
  <si>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</si>
  <si>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</si>
  <si>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</si>
  <si>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</si>
  <si>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</si>
  <si>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</si>
  <si>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</si>
  <si>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</si>
  <si>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</si>
  <si>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</si>
  <si>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</si>
  <si>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</si>
  <si>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</si>
  <si>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</si>
  <si>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</si>
  <si>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</si>
  <si>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</si>
  <si>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</si>
  <si>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</si>
  <si>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</si>
  <si>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</si>
  <si>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</si>
  <si>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</si>
  <si>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</si>
  <si>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</si>
  <si>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</si>
  <si>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</si>
  <si>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</si>
  <si>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</si>
  <si>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</si>
  <si>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</si>
  <si>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</si>
  <si>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</si>
  <si>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</si>
  <si>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</si>
  <si>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</si>
  <si>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</si>
  <si>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</si>
  <si>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</si>
  <si>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</si>
  <si>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</si>
  <si>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</si>
  <si>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</si>
  <si>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</si>
  <si>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</si>
  <si>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</si>
  <si>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</si>
  <si>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</si>
  <si>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</si>
  <si>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</si>
  <si>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</si>
  <si>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</si>
  <si>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</si>
  <si>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</si>
  <si>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</si>
  <si>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</si>
  <si>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</si>
  <si>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</si>
  <si>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</si>
  <si>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</si>
  <si>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</si>
  <si>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</si>
  <si>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</si>
  <si>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</si>
  <si>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</si>
  <si>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</si>
  <si>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</si>
  <si>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</si>
  <si>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</si>
  <si>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</si>
  <si>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</si>
  <si>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</si>
  <si>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</si>
  <si>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</si>
  <si>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</si>
  <si>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</si>
  <si>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</si>
  <si>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</si>
  <si>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</si>
  <si>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</si>
  <si>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</si>
  <si>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</si>
  <si>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</si>
  <si>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</si>
  <si>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</si>
  <si>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</si>
  <si>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</si>
  <si>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</si>
  <si>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</si>
  <si>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</si>
  <si>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</si>
  <si>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</si>
  <si>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</si>
  <si>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</si>
  <si>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</si>
  <si>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</si>
  <si>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</si>
  <si>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</si>
  <si>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</si>
  <si>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</si>
  <si>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</si>
  <si>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</si>
  <si>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</si>
  <si>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</si>
  <si>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</si>
  <si>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</si>
  <si>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</si>
  <si>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</si>
  <si>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</si>
  <si>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</si>
  <si>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</si>
  <si>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</si>
  <si>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</si>
  <si>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</si>
  <si>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</si>
  <si>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</si>
  <si>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</si>
  <si>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</si>
  <si>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</si>
  <si>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</si>
  <si>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</si>
  <si>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</si>
  <si>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</si>
  <si>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</si>
  <si>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</si>
  <si>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</si>
  <si>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</si>
  <si>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</si>
  <si>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</si>
  <si>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</si>
  <si>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</si>
  <si>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</si>
  <si>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</si>
  <si>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</si>
  <si>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</si>
  <si>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</si>
  <si>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</si>
  <si>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</si>
  <si>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</si>
  <si>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</si>
  <si>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</si>
  <si>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</si>
  <si>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</si>
  <si>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</si>
  <si>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</si>
  <si>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</si>
  <si>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</si>
  <si>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</si>
  <si>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</si>
  <si>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</si>
  <si>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</si>
  <si>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</si>
  <si>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</si>
  <si>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</si>
  <si>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</si>
  <si>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</si>
  <si>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</si>
  <si>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</si>
  <si>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</si>
  <si>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</si>
  <si>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</si>
  <si>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</si>
  <si>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</si>
  <si>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</si>
  <si>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</si>
  <si>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</si>
  <si>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</si>
  <si>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</si>
  <si>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</si>
  <si>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</si>
  <si>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</si>
  <si>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</si>
  <si>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</si>
  <si>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</si>
  <si>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</si>
  <si>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</si>
  <si>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</si>
  <si>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</si>
  <si>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</si>
  <si>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</si>
  <si>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</si>
  <si>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</si>
  <si>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</si>
  <si>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</si>
  <si>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</si>
  <si>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</si>
  <si>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</si>
  <si>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</si>
  <si>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</si>
  <si>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</si>
  <si>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</si>
  <si>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</si>
  <si>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</si>
  <si>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</si>
  <si>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</si>
  <si>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</si>
  <si>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</si>
  <si>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</si>
  <si>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</si>
  <si>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</si>
  <si>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</si>
  <si>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</si>
  <si>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</si>
  <si>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</si>
  <si>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</si>
  <si>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</si>
  <si>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</si>
  <si>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</si>
  <si>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</si>
  <si>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</si>
  <si>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</si>
  <si>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</si>
  <si>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</si>
  <si>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</si>
  <si>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</si>
  <si>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</si>
  <si>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</si>
  <si>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</si>
  <si>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</si>
  <si>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</si>
  <si>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</si>
  <si>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</si>
  <si>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</si>
  <si>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</si>
  <si>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</si>
  <si>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</si>
  <si>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</si>
  <si>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</si>
  <si>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</si>
  <si>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</si>
  <si>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</si>
  <si>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</si>
  <si>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</si>
  <si>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</si>
  <si>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</si>
  <si>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</si>
  <si>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</si>
  <si>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</si>
  <si>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</si>
  <si>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</si>
  <si>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</si>
  <si>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</si>
  <si>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</si>
  <si>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</si>
  <si>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</si>
  <si>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</si>
  <si>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</si>
  <si>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</si>
  <si>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</si>
  <si>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</si>
  <si>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</si>
  <si>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</si>
  <si>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</si>
  <si>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</si>
  <si>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</si>
  <si>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</si>
  <si>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</si>
  <si>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</si>
  <si>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</si>
  <si>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</si>
  <si>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</si>
  <si>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</si>
  <si>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</si>
  <si>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</si>
  <si>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</si>
  <si>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</si>
  <si>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</si>
  <si>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</si>
  <si>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</si>
  <si>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</si>
  <si>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</si>
  <si>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</si>
  <si>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</si>
  <si>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</si>
  <si>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</si>
  <si>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</si>
  <si>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</si>
  <si>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</si>
  <si>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</si>
  <si>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</si>
  <si>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</si>
  <si>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</si>
  <si>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</si>
  <si>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</si>
  <si>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</si>
  <si>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</si>
  <si>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</si>
  <si>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</si>
  <si>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</si>
  <si>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</si>
  <si>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</si>
  <si>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</si>
  <si>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</si>
  <si>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</si>
  <si>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</si>
  <si>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</si>
  <si>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</si>
  <si>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</si>
  <si>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</si>
  <si>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</si>
  <si>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</si>
  <si>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</si>
  <si>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</si>
  <si>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</si>
  <si>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</si>
  <si>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</si>
  <si>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</si>
  <si>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</si>
  <si>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</si>
  <si>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</si>
  <si>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</si>
  <si>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</si>
  <si>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</si>
  <si>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</si>
  <si>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</si>
  <si>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</si>
  <si>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</si>
  <si>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</si>
  <si>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</si>
  <si>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</si>
  <si>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</si>
  <si>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</si>
  <si>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</si>
  <si>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</si>
  <si>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</si>
  <si>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</si>
  <si>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</si>
  <si>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</si>
  <si>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</si>
  <si>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</si>
  <si>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</si>
  <si>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</si>
  <si>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</si>
  <si>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</si>
  <si>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</si>
  <si>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</si>
  <si>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</si>
  <si>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</si>
  <si>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</si>
  <si>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</si>
  <si>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</si>
  <si>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</si>
  <si>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</si>
  <si>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</si>
  <si>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</si>
  <si>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</si>
  <si>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</si>
  <si>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</si>
  <si>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</si>
  <si>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</si>
  <si>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</si>
  <si>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</si>
  <si>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</si>
  <si>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</si>
  <si>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</si>
  <si>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</si>
  <si>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</si>
  <si>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</si>
  <si>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</si>
  <si>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</si>
  <si>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</si>
  <si>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</si>
  <si>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</si>
  <si>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</si>
  <si>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</si>
  <si>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</si>
  <si>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</si>
  <si>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</si>
  <si>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</si>
  <si>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</si>
  <si>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</si>
  <si>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</si>
  <si>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</si>
  <si>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</si>
  <si>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</si>
  <si>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</si>
  <si>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</si>
  <si>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</si>
  <si>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</si>
  <si>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</si>
  <si>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</si>
  <si>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</si>
  <si>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</si>
  <si>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</si>
  <si>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</si>
  <si>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</si>
  <si>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</si>
  <si>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</si>
  <si>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</si>
  <si>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</si>
  <si>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</si>
  <si>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</si>
  <si>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</si>
  <si>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</si>
  <si>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</si>
  <si>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</si>
  <si>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</si>
  <si>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</si>
  <si>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</si>
  <si>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</si>
  <si>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</si>
  <si>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</si>
  <si>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</si>
  <si>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</si>
  <si>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</si>
  <si>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</si>
  <si>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</si>
  <si>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</si>
  <si>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</si>
  <si>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</si>
  <si>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</si>
  <si>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</si>
  <si>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</si>
  <si>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</si>
  <si>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</si>
  <si>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</si>
  <si>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</si>
  <si>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</si>
  <si>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</si>
  <si>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</si>
  <si>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</si>
  <si>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</si>
  <si>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</si>
  <si>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</si>
  <si>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</si>
  <si>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</si>
  <si>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</si>
  <si>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</si>
  <si>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</si>
  <si>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</si>
  <si>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</si>
  <si>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</si>
  <si>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</si>
  <si>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</si>
  <si>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</si>
  <si>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</si>
  <si>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</si>
  <si>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</si>
  <si>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</si>
  <si>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</si>
  <si>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</si>
  <si>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</si>
  <si>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</si>
  <si>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</si>
  <si>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</si>
  <si>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</si>
  <si>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</si>
  <si>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</si>
  <si>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</si>
  <si>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</si>
  <si>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</si>
  <si>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</si>
  <si>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</si>
  <si>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</si>
  <si>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</si>
  <si>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</si>
  <si>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</si>
  <si>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</si>
  <si>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</si>
  <si>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</si>
  <si>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</si>
  <si>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</si>
  <si>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</si>
  <si>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</si>
  <si>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</si>
  <si>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</si>
  <si>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</si>
  <si>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</si>
  <si>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</si>
  <si>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</si>
  <si>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</si>
  <si>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</si>
  <si>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</si>
  <si>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</si>
  <si>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</si>
  <si>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</si>
  <si>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</si>
  <si>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</si>
  <si>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</si>
  <si>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</si>
  <si>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</si>
  <si>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</si>
  <si>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</si>
  <si>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</si>
  <si>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</si>
  <si>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</si>
  <si>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</si>
  <si>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</si>
  <si>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</si>
  <si>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</si>
  <si>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</si>
  <si>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</si>
  <si>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</si>
  <si>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</si>
  <si>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</si>
  <si>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</si>
  <si>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</si>
  <si>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</si>
  <si>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</si>
  <si>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</si>
  <si>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</si>
  <si>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</si>
  <si>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</si>
  <si>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</si>
  <si>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</si>
  <si>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</si>
  <si>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</si>
  <si>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</si>
  <si>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</si>
  <si>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</si>
  <si>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</si>
  <si>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</si>
  <si>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</si>
  <si>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</si>
  <si>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</si>
  <si>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</si>
  <si>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</si>
  <si>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</si>
  <si>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</si>
  <si>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</si>
  <si>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</si>
  <si>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</si>
  <si>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</si>
  <si>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</si>
  <si>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</si>
  <si>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</si>
  <si>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</si>
  <si>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</si>
  <si>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</si>
  <si>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</si>
  <si>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</si>
  <si>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</si>
  <si>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</si>
  <si>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</si>
  <si>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</si>
  <si>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</si>
  <si>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</si>
  <si>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</si>
  <si>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</si>
  <si>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</si>
  <si>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</si>
  <si>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</si>
  <si>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</si>
  <si>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</si>
  <si>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</si>
  <si>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</si>
  <si>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</si>
  <si>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</si>
  <si>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</si>
  <si>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</si>
  <si>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</si>
  <si>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</si>
  <si>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</si>
  <si>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</si>
  <si>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</si>
  <si>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</si>
  <si>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</si>
  <si>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</si>
  <si>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</si>
  <si>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</si>
  <si>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</si>
  <si>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</si>
  <si>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</si>
  <si>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</si>
  <si>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</si>
  <si>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</si>
  <si>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</si>
  <si>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</si>
  <si>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</si>
  <si>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</si>
  <si>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</si>
  <si>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</si>
  <si>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</si>
  <si>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</si>
  <si>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</si>
  <si>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</si>
  <si>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</si>
  <si>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</si>
  <si>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</si>
  <si>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</si>
  <si>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</si>
  <si>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</si>
  <si>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</si>
  <si>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</si>
  <si>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</si>
  <si>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</si>
  <si>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</si>
  <si>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</si>
  <si>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</si>
  <si>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</si>
  <si>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</si>
  <si>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</si>
  <si>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</si>
  <si>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</si>
  <si>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</si>
  <si>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</si>
  <si>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</si>
  <si>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</si>
  <si>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</si>
  <si>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</si>
  <si>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</si>
  <si>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</si>
  <si>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</si>
  <si>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</si>
  <si>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</si>
  <si>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</si>
  <si>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</si>
  <si>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</si>
  <si>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</si>
  <si>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</si>
  <si>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</si>
  <si>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</si>
  <si>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</si>
  <si>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</si>
  <si>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</si>
  <si>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</si>
  <si>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</si>
  <si>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</si>
  <si>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</si>
  <si>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</si>
  <si>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</si>
  <si>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</si>
  <si>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</si>
  <si>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</si>
  <si>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</si>
  <si>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</si>
  <si>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</si>
  <si>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</si>
  <si>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</si>
  <si>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</si>
  <si>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</si>
  <si>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</si>
  <si>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</si>
  <si>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</si>
  <si>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</si>
  <si>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</si>
  <si>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</si>
  <si>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</si>
  <si>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</si>
  <si>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</si>
  <si>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</si>
  <si>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</si>
  <si>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</si>
  <si>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</si>
  <si>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</si>
  <si>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</si>
  <si>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</si>
  <si>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</si>
  <si>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</si>
  <si>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</si>
  <si>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</si>
  <si>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</si>
  <si>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</si>
  <si>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</si>
  <si>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</si>
  <si>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</si>
  <si>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</si>
  <si>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</si>
  <si>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</si>
  <si>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</si>
  <si>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</si>
  <si>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</si>
  <si>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</si>
  <si>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</si>
  <si>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</si>
  <si>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</si>
  <si>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</si>
  <si>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</si>
  <si>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</si>
  <si>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</si>
  <si>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</si>
  <si>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</si>
  <si>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</si>
  <si>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</si>
  <si>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</si>
  <si>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</si>
  <si>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</si>
  <si>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</si>
  <si>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</si>
  <si>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</si>
  <si>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</si>
  <si>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</si>
  <si>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</si>
  <si>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</si>
  <si>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</si>
  <si>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</si>
  <si>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</si>
  <si>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</si>
  <si>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</si>
  <si>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</si>
  <si>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</si>
  <si>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</si>
  <si>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</si>
  <si>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</si>
  <si>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</si>
  <si>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</si>
  <si>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</si>
  <si>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</si>
  <si>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</si>
  <si>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</si>
  <si>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</si>
  <si>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</si>
  <si>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</si>
  <si>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</si>
  <si>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</si>
  <si>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</si>
  <si>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</si>
  <si>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</si>
  <si>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</si>
  <si>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</si>
  <si>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</si>
  <si>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</si>
  <si>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</si>
  <si>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</si>
  <si>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</si>
  <si>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</si>
  <si>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</si>
  <si>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</si>
  <si>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</si>
  <si>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</si>
  <si>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</si>
  <si>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</si>
  <si>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</si>
  <si>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</si>
  <si>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</si>
  <si>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</si>
  <si>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</si>
  <si>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</si>
  <si>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</si>
  <si>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</si>
  <si>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</si>
  <si>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</si>
  <si>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</si>
  <si>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</si>
  <si>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</si>
  <si>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</si>
  <si>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</si>
  <si>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</si>
  <si>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</si>
  <si>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</si>
  <si>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</si>
  <si>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</si>
  <si>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</si>
  <si>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</si>
  <si>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</si>
  <si>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</si>
  <si>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</si>
  <si>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</si>
  <si>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</si>
  <si>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</si>
  <si>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</si>
  <si>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</si>
  <si>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</si>
  <si>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</si>
  <si>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</si>
  <si>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</si>
  <si>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</si>
  <si>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</si>
  <si>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</si>
  <si>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</si>
  <si>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</si>
  <si>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</si>
  <si>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</si>
  <si>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</si>
  <si>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</si>
  <si>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</si>
  <si>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</si>
  <si>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</si>
  <si>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</si>
  <si>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</si>
  <si>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</si>
  <si>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</si>
  <si>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</si>
  <si>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</si>
  <si>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</si>
  <si>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</si>
  <si>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</si>
  <si>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</si>
  <si>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</si>
  <si>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</si>
  <si>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</si>
  <si>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</si>
  <si>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</si>
  <si>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</si>
  <si>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</si>
  <si>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</si>
  <si>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</si>
  <si>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</si>
  <si>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</si>
  <si>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</si>
  <si>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</si>
  <si>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</si>
  <si>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</si>
  <si>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</si>
  <si>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</si>
  <si>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</si>
  <si>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</si>
  <si>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</si>
  <si>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</si>
  <si>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</si>
  <si>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</si>
  <si>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</si>
  <si>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</si>
  <si>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</si>
  <si>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</si>
  <si>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</si>
  <si>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</si>
  <si>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</si>
  <si>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</si>
  <si>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</si>
  <si>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</si>
  <si>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</si>
  <si>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</si>
  <si>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</si>
  <si>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</si>
  <si>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</si>
  <si>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</si>
  <si>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</si>
  <si>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</si>
  <si>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</si>
  <si>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</si>
  <si>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</si>
  <si>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</si>
  <si>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</si>
  <si>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</si>
  <si>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</si>
  <si>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</si>
  <si>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</si>
  <si>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</si>
  <si>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</si>
  <si>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</si>
  <si>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</si>
  <si>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</si>
  <si>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</si>
  <si>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</si>
  <si>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</si>
  <si>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</si>
  <si>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</si>
  <si>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</si>
  <si>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</si>
  <si>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</si>
  <si>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</si>
  <si>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</si>
  <si>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</si>
  <si>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</si>
  <si>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</si>
  <si>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</si>
  <si>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</si>
  <si>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</si>
  <si>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</si>
  <si>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</si>
  <si>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</si>
  <si>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</si>
  <si>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</si>
  <si>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</si>
  <si>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</si>
  <si>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</si>
  <si>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</si>
  <si>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</si>
  <si>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</si>
  <si>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</si>
  <si>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</si>
  <si>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</si>
  <si>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</si>
  <si>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</si>
  <si>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</si>
  <si>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</si>
  <si>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</si>
  <si>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</si>
  <si>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</si>
  <si>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</si>
  <si>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</si>
  <si>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</si>
  <si>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</si>
  <si>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</si>
  <si>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</si>
  <si>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</si>
  <si>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</si>
  <si>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</si>
  <si>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</si>
  <si>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</si>
  <si>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</si>
  <si>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</si>
  <si>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</si>
  <si>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</si>
  <si>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</si>
  <si>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</si>
  <si>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</si>
  <si>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</si>
  <si>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</si>
  <si>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</si>
  <si>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</si>
  <si>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</si>
  <si>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</si>
  <si>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</si>
  <si>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</si>
  <si>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</si>
  <si>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</si>
  <si>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</si>
  <si>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</si>
  <si>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</si>
  <si>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</si>
  <si>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</si>
  <si>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</si>
  <si>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</si>
  <si>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</si>
  <si>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</si>
  <si>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</si>
  <si>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</si>
  <si>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</si>
  <si>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</si>
  <si>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</si>
  <si>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</si>
  <si>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</si>
  <si>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</si>
  <si>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</si>
  <si>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</si>
  <si>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</si>
  <si>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</si>
  <si>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</si>
  <si>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</si>
  <si>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</si>
  <si>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</si>
  <si>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</si>
  <si>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</si>
  <si>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</si>
  <si>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</si>
  <si>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</si>
  <si>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</si>
  <si>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</si>
  <si>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</si>
  <si>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</si>
  <si>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</si>
  <si>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</si>
  <si>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</si>
  <si>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</si>
  <si>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</si>
  <si>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</si>
  <si>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</si>
  <si>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</si>
  <si>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</si>
  <si>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</si>
  <si>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</si>
  <si>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</si>
  <si>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</si>
  <si>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</si>
  <si>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</si>
  <si>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</si>
  <si>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</si>
  <si>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</si>
  <si>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</si>
  <si>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</si>
  <si>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</si>
  <si>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</si>
  <si>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</si>
  <si>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</si>
  <si>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</si>
  <si>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</si>
  <si>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</si>
  <si>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</si>
  <si>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</si>
  <si>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</si>
  <si>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</si>
  <si>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</si>
  <si>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</si>
  <si>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</si>
  <si>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</si>
  <si>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</si>
  <si>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</si>
  <si>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</si>
  <si>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</si>
  <si>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</si>
  <si>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</si>
  <si>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</si>
  <si>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</si>
  <si>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</si>
  <si>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</si>
  <si>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</si>
  <si>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</si>
  <si>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</si>
  <si>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</si>
  <si>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</si>
  <si>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</si>
  <si>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</si>
  <si>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</si>
  <si>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</si>
  <si>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</si>
  <si>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</si>
  <si>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</si>
  <si>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</si>
  <si>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</si>
  <si>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</si>
  <si>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</si>
  <si>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</si>
  <si>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</si>
  <si>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</si>
  <si>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</si>
  <si>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</si>
  <si>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</si>
  <si>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</si>
  <si>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</si>
  <si>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</si>
  <si>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</si>
  <si>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</si>
  <si>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</si>
  <si>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</si>
  <si>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</si>
  <si>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</si>
  <si>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</si>
  <si>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</si>
  <si>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</si>
  <si>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</si>
  <si>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</si>
  <si>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</si>
  <si>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</si>
  <si>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</si>
  <si>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</si>
  <si>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</si>
  <si>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</si>
  <si>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</si>
  <si>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</si>
  <si>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</si>
  <si>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</si>
  <si>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</si>
  <si>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</si>
  <si>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</si>
  <si>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</si>
  <si>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</si>
  <si>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</si>
  <si>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</si>
  <si>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</si>
  <si>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</si>
  <si>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</si>
  <si>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</si>
  <si>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</si>
  <si>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</si>
  <si>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</si>
  <si>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</si>
  <si>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</si>
  <si>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</si>
  <si>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</si>
  <si>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</si>
  <si>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</si>
  <si>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</si>
  <si>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</si>
  <si>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</si>
  <si>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</si>
  <si>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</si>
  <si>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</si>
  <si>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</si>
  <si>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</si>
  <si>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</si>
  <si>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</si>
  <si>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</si>
  <si>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</si>
  <si>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</si>
  <si>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</si>
  <si>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</si>
  <si>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</si>
  <si>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</si>
  <si>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</si>
  <si>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</si>
  <si>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</si>
  <si>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</si>
  <si>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</si>
  <si>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</si>
  <si>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</si>
  <si>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</si>
  <si>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</si>
  <si>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</si>
  <si>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</si>
  <si>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</si>
  <si>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</si>
  <si>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</si>
  <si>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</si>
  <si>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</si>
  <si>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</si>
  <si>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</si>
  <si>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</si>
  <si>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</si>
  <si>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</si>
  <si>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</si>
  <si>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</si>
  <si>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</si>
  <si>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</si>
  <si>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</si>
  <si>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</si>
  <si>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</si>
  <si>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</si>
  <si>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</si>
  <si>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</si>
  <si>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</si>
  <si>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</si>
  <si>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</si>
  <si>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</si>
  <si>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</si>
  <si>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</si>
  <si>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</si>
  <si>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</si>
  <si>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</si>
  <si>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</si>
  <si>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</si>
  <si>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</si>
  <si>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</si>
  <si>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</si>
  <si>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</si>
  <si>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</si>
  <si>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</si>
  <si>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</si>
  <si>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</si>
  <si>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</si>
  <si>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</si>
  <si>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</si>
  <si>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</si>
  <si>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</si>
  <si>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</si>
  <si>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</si>
  <si>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</si>
  <si>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</si>
  <si>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</si>
  <si>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</si>
  <si>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</si>
  <si>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</si>
  <si>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</si>
  <si>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</si>
  <si>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</si>
  <si>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</si>
  <si>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</si>
  <si>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</si>
  <si>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</si>
  <si>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</si>
  <si>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</si>
  <si>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</si>
  <si>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</si>
  <si>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</si>
  <si>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</si>
  <si>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</si>
  <si>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</si>
  <si>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</si>
  <si>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</si>
  <si>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</si>
  <si>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</si>
  <si>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</si>
  <si>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</si>
  <si>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</si>
  <si>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</si>
  <si>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</si>
  <si>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</si>
  <si>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</si>
  <si>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</si>
  <si>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</si>
  <si>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</si>
  <si>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</si>
  <si>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</si>
  <si>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</si>
  <si>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</si>
  <si>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</si>
  <si>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</si>
  <si>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</si>
  <si>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</si>
  <si>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</si>
  <si>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</si>
  <si>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</si>
  <si>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</si>
  <si>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</si>
  <si>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</si>
  <si>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</si>
  <si>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</si>
  <si>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</si>
  <si>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</si>
  <si>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</si>
  <si>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</si>
  <si>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</si>
  <si>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</si>
  <si>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</si>
  <si>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</si>
  <si>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</si>
  <si>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</si>
  <si>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</si>
  <si>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</si>
  <si>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</si>
  <si>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</si>
  <si>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</si>
  <si>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</si>
  <si>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</si>
  <si>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</si>
  <si>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</si>
  <si>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</si>
  <si>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</si>
  <si>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</si>
  <si>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</si>
  <si>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</si>
  <si>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</si>
  <si>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</si>
  <si>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</si>
  <si>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</si>
  <si>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</si>
  <si>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</si>
  <si>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</si>
  <si>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</si>
  <si>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</si>
  <si>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</si>
  <si>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</si>
  <si>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</si>
  <si>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</si>
  <si>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</si>
  <si>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</si>
  <si>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</si>
  <si>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</si>
  <si>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</si>
  <si>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</si>
  <si>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</si>
  <si>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</si>
  <si>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</si>
  <si>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</si>
  <si>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</si>
  <si>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</si>
  <si>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</si>
  <si>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</si>
  <si>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</si>
  <si>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</si>
  <si>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</si>
  <si>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</si>
  <si>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</si>
  <si>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</si>
  <si>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</si>
  <si>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</si>
  <si>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</si>
  <si>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</si>
  <si>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</si>
  <si>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</si>
  <si>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</si>
  <si>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</si>
  <si>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</si>
  <si>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</si>
  <si>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</si>
  <si>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</si>
  <si>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</si>
  <si>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</si>
  <si>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</si>
  <si>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</si>
  <si>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</si>
  <si>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</si>
  <si>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</si>
  <si>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</si>
  <si>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</si>
  <si>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</si>
  <si>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</si>
  <si>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</si>
  <si>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</si>
  <si>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</si>
  <si>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</si>
  <si>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</si>
  <si>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</si>
  <si>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</si>
  <si>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</si>
  <si>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</si>
  <si>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</si>
  <si>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</si>
  <si>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</si>
  <si>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</si>
  <si>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</si>
  <si>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</si>
  <si>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</si>
  <si>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</si>
  <si>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</si>
  <si>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</si>
  <si>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</si>
  <si>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</si>
  <si>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</si>
  <si>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</si>
  <si>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</si>
  <si>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</si>
  <si>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</si>
  <si>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</si>
  <si>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</si>
  <si>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</si>
  <si>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</si>
  <si>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</si>
  <si>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</si>
  <si>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</si>
  <si>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</si>
  <si>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</si>
  <si>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</si>
  <si>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</si>
  <si>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</si>
  <si>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</si>
  <si>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</si>
  <si>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</si>
  <si>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</si>
  <si>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</si>
  <si>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</si>
  <si>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</si>
  <si>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</si>
  <si>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</si>
  <si>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</si>
  <si>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</si>
  <si>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</si>
  <si>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</si>
  <si>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</si>
  <si>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</si>
  <si>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</si>
  <si>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</si>
  <si>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</si>
  <si>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</si>
  <si>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</si>
  <si>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</si>
  <si>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</si>
  <si>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</si>
  <si>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</si>
  <si>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</si>
  <si>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</si>
  <si>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</si>
  <si>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</si>
  <si>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</si>
  <si>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</si>
  <si>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</si>
  <si>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</si>
  <si>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</si>
  <si>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</si>
  <si>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</si>
  <si>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</si>
  <si>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</si>
  <si>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</si>
  <si>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</si>
  <si>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</si>
  <si>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</si>
  <si>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</si>
  <si>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</si>
  <si>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</si>
  <si>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</si>
  <si>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</si>
  <si>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</si>
  <si>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</si>
  <si>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</si>
  <si>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</si>
  <si>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</si>
  <si>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</si>
  <si>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</si>
  <si>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</si>
  <si>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</si>
  <si>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</si>
  <si>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</si>
  <si>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</si>
  <si>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</si>
  <si>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</si>
  <si>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</si>
  <si>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</si>
  <si>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</si>
  <si>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</si>
  <si>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</si>
  <si>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</si>
  <si>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</si>
  <si>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</si>
  <si>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</si>
  <si>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</si>
  <si>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</si>
  <si>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</si>
  <si>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</si>
  <si>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</si>
  <si>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</si>
  <si>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</si>
  <si>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</si>
  <si>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</si>
  <si>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</si>
  <si>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</si>
  <si>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</si>
  <si>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</si>
  <si>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</si>
  <si>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</si>
  <si>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</si>
  <si>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</si>
  <si>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</si>
  <si>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</si>
  <si>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</si>
  <si>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</si>
  <si>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</si>
  <si>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</si>
  <si>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</si>
  <si>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</si>
  <si>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</si>
  <si>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</si>
  <si>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</si>
  <si>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</si>
  <si>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</si>
  <si>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</si>
  <si>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</si>
  <si>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</si>
  <si>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</si>
  <si>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</si>
  <si>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</si>
  <si>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</si>
  <si>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</si>
  <si>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</si>
  <si>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</si>
  <si>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</si>
  <si>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</si>
  <si>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</si>
  <si>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</si>
  <si>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</si>
  <si>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</si>
  <si>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</si>
  <si>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</si>
  <si>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</si>
  <si>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</si>
  <si>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</si>
  <si>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</si>
  <si>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</si>
  <si>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</si>
  <si>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</si>
  <si>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</si>
  <si>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</si>
  <si>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</si>
  <si>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</si>
  <si>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</si>
  <si>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</si>
  <si>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</si>
  <si>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</si>
  <si>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</si>
  <si>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</si>
  <si>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</si>
  <si>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</si>
  <si>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</si>
  <si>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</si>
  <si>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</si>
  <si>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</si>
  <si>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</si>
  <si>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</si>
  <si>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</si>
  <si>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</si>
  <si>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</si>
  <si>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</si>
  <si>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</si>
  <si>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</si>
  <si>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</si>
  <si>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</si>
  <si>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</si>
  <si>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</si>
  <si>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</si>
  <si>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</si>
  <si>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</si>
  <si>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</si>
  <si>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</si>
  <si>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</si>
  <si>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</si>
  <si>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</si>
  <si>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</si>
  <si>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</si>
  <si>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</si>
  <si>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</si>
  <si>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</si>
  <si>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</si>
  <si>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</si>
  <si>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</si>
  <si>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</si>
  <si>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</si>
  <si>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</si>
  <si>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</si>
  <si>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</si>
  <si>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</si>
  <si>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</si>
  <si>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</si>
  <si>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</si>
  <si>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</si>
  <si>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</si>
  <si>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</si>
  <si>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</si>
  <si>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</si>
  <si>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</si>
  <si>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</si>
  <si>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</si>
  <si>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</si>
  <si>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</si>
  <si>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</si>
  <si>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</si>
  <si>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</si>
  <si>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</si>
  <si>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</si>
  <si>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</si>
  <si>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</si>
  <si>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</si>
  <si>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</si>
  <si>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</si>
  <si>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</si>
  <si>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</si>
  <si>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</si>
  <si>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</si>
  <si>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</si>
  <si>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</si>
  <si>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</si>
  <si>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</si>
  <si>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</si>
  <si>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</si>
  <si>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</si>
  <si>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</si>
  <si>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</si>
  <si>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</si>
  <si>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</si>
  <si>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</si>
  <si>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</si>
  <si>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</si>
  <si>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</si>
  <si>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</si>
  <si>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</si>
  <si>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</si>
  <si>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</si>
  <si>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</si>
  <si>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</si>
  <si>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</si>
  <si>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</si>
  <si>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</si>
  <si>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</si>
  <si>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</si>
  <si>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</si>
  <si>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</si>
  <si>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</si>
  <si>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</si>
  <si>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</si>
  <si>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</si>
  <si>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</si>
  <si>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</si>
  <si>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</si>
  <si>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</si>
  <si>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</si>
  <si>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</si>
  <si>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</si>
  <si>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</si>
  <si>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</si>
  <si>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</si>
  <si>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</si>
  <si>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</si>
  <si>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</si>
  <si>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</si>
  <si>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</si>
  <si>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</si>
  <si>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</si>
  <si>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</si>
  <si>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</si>
  <si>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</si>
  <si>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</si>
  <si>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</si>
  <si>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</si>
  <si>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</si>
  <si>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</si>
  <si>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</si>
  <si>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</si>
  <si>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</si>
  <si>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</si>
  <si>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</si>
  <si>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</si>
  <si>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</si>
  <si>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</si>
  <si>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</si>
  <si>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</si>
  <si>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</si>
  <si>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</si>
  <si>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</si>
  <si>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</si>
  <si>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</si>
  <si>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</si>
  <si>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</si>
  <si>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</si>
  <si>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</si>
  <si>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</si>
  <si>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</si>
  <si>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</si>
  <si>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</si>
  <si>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</si>
  <si>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</si>
  <si>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</si>
  <si>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</si>
  <si>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</si>
  <si>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</si>
  <si>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</si>
  <si>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</si>
  <si>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</si>
  <si>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</si>
  <si>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</si>
  <si>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</si>
  <si>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</si>
  <si>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</si>
  <si>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</si>
  <si>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</si>
  <si>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</si>
  <si>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</si>
  <si>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</si>
  <si>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</si>
  <si>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</si>
  <si>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</si>
  <si>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</si>
  <si>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</si>
  <si>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</si>
  <si>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</si>
  <si>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</si>
  <si>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</si>
  <si>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</si>
  <si>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</si>
  <si>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</si>
  <si>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</si>
  <si>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</si>
  <si>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</si>
  <si>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</si>
  <si>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</si>
  <si>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</si>
  <si>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</si>
  <si>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</si>
  <si>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</si>
  <si>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</si>
  <si>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</si>
  <si>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</si>
  <si>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</si>
  <si>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</si>
  <si>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</si>
  <si>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</si>
  <si>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</si>
  <si>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</si>
  <si>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</si>
  <si>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</si>
  <si>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</si>
  <si>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</si>
  <si>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</si>
  <si>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</si>
  <si>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</si>
  <si>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</si>
  <si>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</si>
  <si>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</si>
  <si>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</si>
  <si>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</si>
  <si>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</si>
  <si>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</si>
  <si>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</si>
  <si>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</si>
  <si>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</si>
  <si>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</si>
  <si>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</si>
  <si>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</si>
  <si>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</si>
  <si>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</si>
  <si>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</si>
  <si>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</si>
  <si>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</si>
  <si>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</si>
  <si>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</si>
  <si>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</si>
  <si>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</si>
  <si>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</si>
  <si>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</si>
  <si>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</si>
  <si>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</si>
  <si>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</si>
  <si>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</si>
  <si>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</si>
  <si>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</si>
  <si>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</si>
  <si>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</si>
  <si>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</si>
  <si>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</si>
  <si>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</si>
  <si>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</si>
  <si>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</si>
  <si>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</si>
  <si>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</si>
  <si>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</si>
  <si>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</si>
  <si>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</si>
  <si>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</si>
  <si>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</si>
  <si>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</si>
  <si>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</si>
  <si>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</si>
  <si>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</si>
  <si>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</si>
  <si>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</si>
  <si>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</si>
  <si>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</si>
  <si>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</si>
  <si>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</si>
  <si>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</si>
  <si>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</si>
  <si>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</si>
  <si>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</si>
  <si>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</si>
  <si>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</si>
  <si>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</si>
  <si>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</si>
  <si>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</si>
  <si>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</si>
  <si>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</si>
  <si>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</si>
  <si>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</si>
  <si>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</si>
  <si>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</si>
  <si>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</si>
  <si>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</si>
  <si>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</si>
  <si>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</si>
  <si>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</si>
  <si>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</si>
  <si>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</si>
  <si>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</si>
  <si>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</si>
  <si>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</si>
  <si>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</si>
  <si>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</si>
  <si>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</si>
  <si>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</si>
  <si>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</si>
  <si>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</si>
  <si>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</si>
  <si>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</si>
  <si>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</si>
  <si>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</si>
  <si>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</si>
  <si>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</si>
  <si>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</si>
  <si>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</si>
  <si>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</si>
  <si>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</si>
  <si>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</si>
  <si>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</si>
  <si>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</si>
  <si>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</si>
  <si>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</si>
  <si>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</si>
  <si>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</si>
  <si>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</si>
  <si>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</si>
  <si>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</si>
  <si>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</si>
  <si>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</si>
  <si>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</si>
  <si>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</si>
  <si>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</si>
  <si>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</si>
  <si>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</si>
  <si>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</si>
  <si>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</si>
  <si>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</si>
  <si>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</si>
  <si>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</si>
  <si>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</si>
  <si>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</si>
  <si>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</si>
  <si>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</si>
  <si>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</si>
  <si>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</si>
  <si>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</si>
  <si>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</si>
  <si>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</si>
  <si>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</si>
  <si>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</si>
  <si>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</si>
  <si>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</si>
  <si>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</si>
  <si>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</si>
  <si>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</si>
  <si>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</si>
  <si>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</si>
  <si>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</si>
  <si>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</si>
  <si>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</si>
  <si>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</si>
  <si>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</si>
  <si>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</si>
  <si>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</si>
  <si>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</si>
  <si>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</si>
  <si>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</si>
  <si>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</si>
  <si>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</si>
  <si>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</si>
  <si>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</si>
  <si>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</si>
  <si>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</si>
  <si>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</si>
  <si>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</si>
  <si>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</si>
  <si>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</si>
  <si>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</si>
  <si>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</si>
  <si>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</si>
  <si>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</si>
  <si>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</si>
  <si>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</si>
  <si>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</si>
  <si>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</si>
  <si>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</si>
  <si>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</si>
  <si>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</si>
  <si>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</si>
  <si>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</si>
  <si>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</si>
  <si>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</si>
  <si>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</si>
  <si>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</si>
  <si>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</si>
  <si>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</si>
  <si>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</si>
  <si>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</si>
  <si>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</si>
  <si>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</si>
  <si>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</si>
  <si>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</si>
  <si>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</si>
  <si>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</si>
  <si>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</si>
  <si>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</si>
  <si>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</si>
  <si>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</si>
  <si>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</si>
  <si>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</si>
  <si>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</si>
  <si>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</si>
  <si>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</si>
  <si>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</si>
  <si>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</si>
  <si>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</si>
  <si>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</si>
  <si>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</si>
  <si>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</si>
  <si>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</si>
  <si>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</si>
  <si>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</si>
  <si>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</si>
  <si>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</si>
  <si>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</si>
  <si>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</si>
  <si>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</si>
  <si>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</si>
  <si>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</si>
  <si>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</si>
  <si>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</si>
  <si>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</si>
  <si>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</si>
  <si>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</si>
  <si>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</si>
  <si>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</si>
  <si>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</si>
  <si>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</si>
  <si>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</si>
  <si>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</si>
  <si>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</si>
  <si>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</si>
  <si>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</si>
  <si>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</si>
  <si>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</si>
  <si>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</si>
  <si>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</si>
  <si>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</si>
  <si>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</si>
  <si>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</si>
  <si>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</si>
  <si>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</si>
  <si>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</si>
  <si>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</si>
  <si>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</si>
  <si>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</si>
  <si>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</si>
  <si>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</si>
  <si>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</si>
  <si>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</si>
  <si>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</si>
  <si>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</si>
  <si>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</si>
  <si>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</si>
  <si>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</si>
  <si>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</si>
  <si>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</si>
  <si>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</si>
  <si>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</si>
  <si>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</si>
  <si>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</si>
  <si>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</si>
  <si>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</si>
  <si>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</si>
  <si>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</si>
  <si>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</si>
  <si>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</si>
  <si>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</si>
  <si>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</si>
  <si>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</si>
  <si>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</si>
  <si>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</si>
  <si>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</si>
  <si>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</si>
  <si>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</si>
  <si>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</si>
  <si>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</si>
  <si>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</si>
  <si>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</si>
  <si>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</si>
  <si>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</si>
  <si>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</si>
  <si>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</si>
  <si>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</si>
  <si>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</si>
  <si>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</si>
  <si>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</si>
  <si>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</si>
  <si>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</si>
  <si>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</si>
  <si>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</si>
  <si>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</si>
  <si>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</si>
  <si>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</si>
  <si>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</si>
  <si>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</si>
  <si>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</si>
  <si>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</si>
  <si>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</si>
  <si>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</si>
  <si>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</si>
  <si>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</si>
  <si>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</si>
  <si>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</si>
  <si>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</si>
  <si>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</si>
  <si>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</si>
  <si>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</si>
  <si>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</si>
  <si>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</si>
  <si>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</si>
  <si>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</si>
  <si>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</si>
  <si>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</si>
  <si>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</si>
  <si>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</si>
  <si>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</si>
  <si>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</si>
  <si>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</si>
  <si>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</si>
  <si>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</si>
  <si>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</si>
  <si>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</si>
  <si>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</si>
  <si>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</si>
  <si>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</si>
  <si>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</si>
  <si>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</si>
  <si>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</si>
  <si>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</si>
  <si>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</si>
  <si>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</si>
  <si>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</si>
  <si>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</si>
  <si>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</si>
  <si>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</si>
  <si>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</si>
  <si>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</si>
  <si>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</si>
  <si>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</si>
  <si>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</si>
  <si>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</si>
  <si>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</si>
  <si>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</si>
  <si>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</si>
  <si>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</si>
  <si>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</si>
  <si>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</si>
  <si>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</si>
  <si>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</si>
  <si>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</si>
  <si>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</si>
  <si>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</si>
  <si>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</si>
  <si>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</si>
  <si>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</si>
  <si>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</si>
  <si>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</si>
  <si>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</si>
  <si>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</si>
  <si>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</si>
  <si>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</si>
  <si>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</si>
  <si>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</si>
  <si>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</si>
  <si>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</si>
  <si>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</si>
  <si>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</si>
  <si>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</si>
  <si>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</si>
  <si>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</si>
  <si>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</si>
  <si>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</si>
  <si>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</si>
  <si>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</si>
  <si>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</si>
  <si>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</si>
  <si>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</si>
  <si>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</si>
  <si>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</si>
  <si>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</si>
  <si>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</si>
  <si>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</si>
  <si>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</si>
  <si>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</si>
  <si>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</si>
  <si>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</si>
  <si>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</si>
  <si>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</si>
  <si>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</si>
  <si>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</si>
  <si>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</si>
  <si>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</si>
  <si>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</si>
  <si>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</si>
  <si>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</si>
  <si>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</si>
  <si>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</si>
  <si>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</si>
  <si>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</si>
  <si>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</si>
  <si>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</si>
  <si>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</si>
  <si>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</si>
  <si>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</si>
  <si>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</si>
  <si>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</si>
  <si>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</si>
  <si>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</si>
  <si>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</si>
  <si>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</si>
  <si>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</si>
  <si>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</si>
  <si>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</si>
  <si>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</si>
  <si>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</si>
  <si>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</si>
  <si>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</si>
  <si>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</si>
  <si>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</si>
  <si>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</si>
  <si>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</si>
  <si>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</si>
  <si>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</si>
  <si>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</si>
  <si>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</si>
  <si>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</si>
  <si>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</si>
  <si>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</si>
  <si>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</si>
  <si>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</si>
  <si>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</si>
  <si>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</si>
  <si>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</si>
  <si>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</si>
  <si>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</si>
  <si>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</si>
  <si>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</si>
  <si>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</si>
  <si>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</si>
  <si>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</si>
  <si>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</si>
  <si>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</si>
  <si>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</si>
  <si>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</si>
  <si>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</si>
  <si>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</si>
  <si>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</si>
  <si>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</si>
  <si>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</si>
  <si>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</si>
  <si>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</si>
  <si>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</si>
  <si>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</si>
  <si>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</si>
  <si>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</si>
  <si>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</si>
  <si>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</si>
  <si>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</si>
  <si>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</si>
  <si>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</si>
  <si>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</si>
  <si>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</si>
  <si>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</si>
  <si>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</si>
  <si>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</si>
  <si>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</si>
  <si>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</si>
  <si>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</si>
  <si>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</si>
  <si>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</si>
  <si>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</si>
  <si>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</si>
  <si>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</si>
  <si>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</si>
  <si>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</si>
  <si>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</si>
  <si>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</si>
  <si>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</si>
  <si>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</si>
  <si>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</si>
  <si>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</si>
  <si>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</si>
  <si>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</si>
  <si>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</si>
  <si>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</si>
  <si>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</si>
  <si>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</si>
  <si>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</si>
  <si>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</si>
  <si>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</si>
  <si>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</si>
  <si>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</si>
  <si>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</si>
  <si>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</si>
  <si>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</si>
  <si>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</si>
  <si>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</si>
  <si>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</si>
  <si>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</si>
  <si>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</si>
  <si>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</si>
  <si>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</si>
  <si>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</si>
  <si>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</si>
  <si>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</si>
  <si>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</si>
  <si>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</si>
  <si>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</si>
  <si>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</si>
  <si>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</si>
  <si>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</si>
  <si>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</si>
  <si>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</si>
  <si>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</si>
  <si>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</si>
  <si>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</si>
  <si>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</si>
  <si>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</si>
  <si>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</si>
  <si>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</si>
  <si>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</si>
  <si>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</si>
  <si>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</si>
  <si>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</si>
  <si>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</si>
  <si>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</si>
  <si>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</si>
  <si>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</si>
  <si>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</si>
  <si>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</si>
  <si>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</si>
  <si>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</si>
  <si>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</si>
  <si>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</si>
  <si>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</si>
  <si>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</si>
  <si>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</si>
  <si>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</si>
  <si>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</si>
  <si>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</si>
  <si>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</si>
  <si>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</si>
  <si>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</si>
  <si>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</si>
  <si>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</si>
  <si>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</si>
  <si>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</si>
  <si>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</si>
  <si>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</si>
  <si>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</si>
  <si>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</si>
  <si>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</si>
  <si>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</si>
  <si>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</si>
  <si>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</si>
  <si>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</si>
  <si>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</si>
  <si>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</si>
  <si>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</si>
  <si>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</si>
  <si>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</si>
  <si>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</si>
  <si>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</si>
  <si>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</si>
  <si>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</si>
  <si>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</si>
  <si>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</si>
  <si>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</si>
  <si>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</si>
  <si>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</si>
  <si>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</si>
  <si>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</si>
  <si>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</si>
  <si>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</si>
  <si>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</si>
  <si>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</si>
  <si>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</si>
  <si>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</si>
  <si>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</si>
  <si>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</si>
  <si>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</si>
  <si>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</si>
  <si>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</si>
  <si>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</si>
  <si>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</si>
  <si>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</si>
  <si>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</si>
  <si>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</si>
  <si>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</si>
  <si>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</si>
  <si>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</si>
  <si>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</si>
  <si>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</si>
  <si>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</si>
  <si>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</si>
  <si>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</si>
  <si>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</si>
  <si>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</si>
  <si>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</si>
  <si>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</si>
  <si>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</si>
  <si>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</si>
  <si>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</si>
  <si>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</si>
  <si>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</si>
  <si>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</si>
  <si>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</si>
  <si>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</si>
  <si>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</si>
  <si>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</si>
  <si>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</si>
  <si>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</si>
  <si>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</si>
  <si>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</si>
  <si>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</si>
  <si>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</si>
  <si>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</si>
  <si>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</si>
  <si>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</si>
  <si>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</si>
  <si>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</si>
  <si>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</si>
  <si>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</si>
  <si>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</si>
  <si>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</si>
  <si>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HUGUES TUPHILE</t>
  </si>
  <si>
    <t xml:space="preserve">L'AVEYRON</t>
  </si>
  <si>
    <t xml:space="preserve">L'AVEYRON A FENEYROLS</t>
  </si>
  <si>
    <t xml:space="preserve">05121000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</si>
  <si>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</si>
  <si>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</si>
  <si>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</si>
  <si>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</si>
  <si>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</si>
  <si>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</si>
  <si>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</si>
  <si>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</si>
  <si>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</si>
  <si>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</si>
  <si>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</si>
  <si>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</si>
  <si>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</si>
  <si>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</si>
  <si>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</si>
  <si>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</si>
  <si>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</si>
  <si>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</si>
  <si>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</si>
  <si>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</si>
  <si>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</si>
  <si>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</si>
  <si>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</si>
  <si>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</si>
  <si>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</si>
  <si>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</si>
  <si>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</si>
  <si>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</si>
  <si>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</si>
  <si>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</si>
  <si>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</si>
  <si>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</si>
  <si>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</si>
  <si>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</si>
  <si>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</si>
  <si>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</si>
  <si>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</si>
  <si>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</si>
  <si>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</si>
  <si>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</si>
  <si>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</si>
  <si>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</si>
  <si>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</si>
  <si>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</si>
  <si>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</si>
  <si>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</si>
  <si>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</si>
  <si>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</si>
  <si>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</si>
  <si>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</si>
  <si>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</si>
  <si>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</si>
  <si>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</si>
  <si>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</si>
  <si>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</si>
  <si>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</si>
  <si>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</si>
  <si>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</si>
  <si>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</si>
  <si>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</si>
  <si>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</si>
  <si>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</si>
  <si>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</si>
  <si>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</si>
  <si>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</si>
  <si>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</si>
  <si>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</si>
  <si>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</si>
  <si>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</si>
  <si>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</si>
  <si>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Cyperaceae</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</si>
  <si>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</si>
  <si>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</si>
  <si>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</si>
  <si>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</si>
  <si>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</si>
  <si>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</si>
  <si>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</si>
  <si>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</si>
  <si>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</si>
  <si>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</si>
  <si>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</si>
  <si>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</si>
  <si>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</si>
  <si>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</si>
  <si>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</si>
  <si>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</si>
  <si>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</si>
  <si>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</si>
  <si>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</si>
  <si>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</si>
  <si>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</si>
  <si>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</si>
  <si>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</si>
  <si>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</si>
  <si>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</si>
  <si>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</si>
  <si>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</si>
  <si>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</si>
  <si>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</si>
  <si>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</si>
  <si>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</si>
  <si>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</si>
  <si>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</si>
  <si>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</si>
  <si>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</si>
  <si>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</si>
  <si>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peu abondant</t>
  </si>
  <si>
    <t xml:space="preserve">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</si>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</sst>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6">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color rgb="FF333333"/>
      <name val="Arial"/>
      <family val="0"/>
    </font>
    <font>
      <sz val="11"/>
      <name val="Times New Roman"/>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color rgb="FF333333"/>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3"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7"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6"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6"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7"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8"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99"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0"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1"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2"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103" fillId="6" borderId="48" xfId="0" applyFont="true" applyBorder="true" applyAlignment="true" applyProtection="true">
      <alignment horizontal="general" vertical="bottom" textRotation="0" wrapText="false" indent="0" shrinkToFit="false"/>
      <protection locked="true" hidden="true"/>
    </xf>
    <xf numFmtId="164" fontId="103"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4"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3"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1" fillId="3" borderId="0" xfId="0" applyFont="true" applyBorder="true" applyAlignment="true" applyProtection="true">
      <alignment horizontal="general" vertical="bottom" textRotation="0" wrapText="false" indent="0" shrinkToFit="false"/>
      <protection locked="true" hidden="true"/>
    </xf>
    <xf numFmtId="164" fontId="101"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5"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5"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5"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4"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0" fillId="14" borderId="0" xfId="0" applyFont="true" applyBorder="false" applyAlignment="true" applyProtection="true">
      <alignment horizontal="right" vertical="bottom" textRotation="0" wrapText="false" indent="0" shrinkToFit="false"/>
      <protection locked="false" hidden="false"/>
    </xf>
    <xf numFmtId="164" fontId="111" fillId="3" borderId="105" xfId="0" applyFont="true" applyBorder="true" applyAlignment="true" applyProtection="true">
      <alignment horizontal="center" vertical="bottom" textRotation="0" wrapText="false" indent="0" shrinkToFit="false"/>
      <protection locked="true" hidden="false"/>
    </xf>
    <xf numFmtId="164" fontId="112"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3" fillId="0" borderId="11" xfId="0" applyFont="true" applyBorder="true" applyAlignment="true" applyProtection="true">
      <alignment horizontal="general" vertical="bottom" textRotation="0" wrapText="false" indent="0" shrinkToFit="false"/>
      <protection locked="true" hidden="false"/>
    </xf>
    <xf numFmtId="164" fontId="113"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81">
    <dxf>
      <fill>
        <patternFill patternType="solid">
          <fgColor rgb="FFFF0000"/>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70C0"/>
          <bgColor rgb="FF000000"/>
        </patternFill>
      </fill>
    </dxf>
    <dxf>
      <fill>
        <patternFill patternType="solid">
          <fgColor rgb="FF0066CC"/>
          <bgColor rgb="FF000000"/>
        </patternFill>
      </fill>
    </dxf>
    <dxf>
      <fill>
        <patternFill patternType="solid">
          <fgColor rgb="FFC0C0C0"/>
          <bgColor rgb="FF000000"/>
        </patternFill>
      </fill>
    </dxf>
    <dxf>
      <fill>
        <patternFill patternType="solid">
          <fgColor rgb="FFBFBFBF"/>
          <bgColor rgb="FF000000"/>
        </patternFill>
      </fill>
    </dxf>
    <dxf>
      <fill>
        <patternFill patternType="solid">
          <fgColor rgb="FF00B050"/>
          <bgColor rgb="FF000000"/>
        </patternFill>
      </fill>
    </dxf>
    <dxf>
      <fill>
        <patternFill patternType="solid">
          <fgColor rgb="FF8CC8AF"/>
          <bgColor rgb="FF000000"/>
        </patternFill>
      </fill>
    </dxf>
    <dxf>
      <fill>
        <patternFill patternType="solid">
          <fgColor rgb="FFCCFFFF"/>
          <bgColor rgb="FF000000"/>
        </patternFill>
      </fill>
    </dxf>
    <dxf>
      <fill>
        <patternFill patternType="solid">
          <fgColor rgb="FF339966"/>
          <bgColor rgb="FF000000"/>
        </patternFill>
      </fill>
    </dxf>
    <dxf>
      <fill>
        <patternFill patternType="solid">
          <fgColor rgb="FF808080"/>
          <bgColor rgb="FF000000"/>
        </patternFill>
      </fill>
    </dxf>
    <dxf>
      <fill>
        <patternFill patternType="solid">
          <fgColor rgb="FFFFFFFF"/>
          <bgColor rgb="FF000000"/>
        </patternFill>
      </fill>
    </dxf>
    <dxf>
      <fill>
        <patternFill patternType="solid">
          <fgColor rgb="FF99CCFF"/>
          <bgColor rgb="FF000000"/>
        </patternFill>
      </fill>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CustomShap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lIns="18360" rIns="0" tIns="0" bIns="0" anchor="t">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CustomShape 1"/>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lIns="18360" rIns="0" tIns="0" bIns="0" anchor="t">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twoCell">
    <xdr:from>
      <xdr:col>7</xdr:col>
      <xdr:colOff>133200</xdr:colOff>
      <xdr:row>7</xdr:row>
      <xdr:rowOff>524520</xdr:rowOff>
    </xdr:from>
    <xdr:to>
      <xdr:col>7</xdr:col>
      <xdr:colOff>317160</xdr:colOff>
      <xdr:row>8</xdr:row>
      <xdr:rowOff>252720</xdr:rowOff>
    </xdr:to>
    <xdr:sp>
      <xdr:nvSpPr>
        <xdr:cNvPr id="4" name="CustomShape 1"/>
        <xdr:cNvSpPr/>
      </xdr:nvSpPr>
      <xdr:spPr>
        <a:xfrm>
          <a:off x="5405040" y="2390760"/>
          <a:ext cx="183960" cy="26352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CustomShape 1"/>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lIns="18360" rIns="0" tIns="0" bIns="0" anchor="t">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CustomShape 1"/>
        <xdr:cNvSpPr/>
      </xdr:nvSpPr>
      <xdr:spPr>
        <a:xfrm>
          <a:off x="139680" y="1342800"/>
          <a:ext cx="6805800" cy="38175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CustomShape 1"/>
        <xdr:cNvSpPr/>
      </xdr:nvSpPr>
      <xdr:spPr>
        <a:xfrm>
          <a:off x="139680" y="1342800"/>
          <a:ext cx="6805800" cy="1129608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CustomShape 1"/>
        <xdr:cNvSpPr/>
      </xdr:nvSpPr>
      <xdr:spPr>
        <a:xfrm>
          <a:off x="4753080" y="628560"/>
          <a:ext cx="4806000" cy="1170720"/>
        </a:xfrm>
        <a:prstGeom prst="rect">
          <a:avLst/>
        </a:prstGeom>
        <a:solidFill>
          <a:srgbClr val="ffff00"/>
        </a:solidFill>
        <a:ln w="9360">
          <a:solidFill>
            <a:srgbClr val="000000"/>
          </a:solidFill>
          <a:miter/>
        </a:ln>
      </xdr:spPr>
      <xdr:style>
        <a:lnRef idx="0"/>
        <a:fillRef idx="0"/>
        <a:effectRef idx="0"/>
        <a:fontRef idx="minor"/>
      </xdr:style>
      <xdr:txBody>
        <a:bodyPr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solidFill>
                <a:srgbClr val="333333"/>
              </a:solidFill>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false" showRowColHeaders="false" showZeros="true" rightToLeft="false" tabSelected="false" showOutlineSymbols="true" defaultGridColor="true" view="normal" topLeftCell="A1" colorId="64" zoomScale="115" zoomScaleNormal="115" zoomScalePageLayoutView="100" workbookViewId="0">
      <pane xSplit="0" ySplit="5" topLeftCell="A1063" activePane="bottomLeft" state="frozen"/>
      <selection pane="topLeft" activeCell="A1" activeCellId="0" sqref="A1"/>
      <selection pane="bottomLeft" activeCell="B1177" activeCellId="0" sqref="B1177"/>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false" showRowColHeaders="false" showZeros="true" rightToLeft="false" tabSelected="false" showOutlineSymbols="true" defaultGridColor="true" view="normal" topLeftCell="A1" colorId="64" zoomScale="115" zoomScaleNormal="115" zoomScalePageLayoutView="100" workbookViewId="0">
      <pane xSplit="0" ySplit="5" topLeftCell="A6" activePane="bottomLeft" state="frozen"/>
      <selection pane="topLeft" activeCell="A1" activeCellId="0" sqref="A1"/>
      <selection pane="bottomLeft" activeCell="O9" activeCellId="0" sqref="O9"/>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false" showRowColHeaders="false" showZeros="true" rightToLeft="false" tabSelected="false" showOutlineSymbols="true" defaultGridColor="true" view="normal" topLeftCell="B1" colorId="64" zoomScale="115" zoomScaleNormal="115" zoomScalePageLayoutView="100" workbookViewId="0">
      <pane xSplit="0" ySplit="5" topLeftCell="A6" activePane="bottomLeft" state="frozen"/>
      <selection pane="topLeft" activeCell="B1" activeCellId="0" sqref="B1"/>
      <selection pane="bottomLeft" activeCell="M5" activeCellId="0" sqref="M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false" showRowColHeaders="false" showZeros="true" rightToLeft="false" tabSelected="true" showOutlineSymbols="true" defaultGridColor="true" view="normal" topLeftCell="A3" colorId="64" zoomScale="85" zoomScaleNormal="85" zoomScalePageLayoutView="100" workbookViewId="0">
      <selection pane="topLeft" activeCell="W47" activeCellId="0" sqref="W47"/>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42600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11.3962264150943</v>
      </c>
      <c r="N5" s="327"/>
      <c r="O5" s="328" t="s">
        <v>1784</v>
      </c>
      <c r="P5" s="329" t="n">
        <v>11.7209302325581</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79</v>
      </c>
      <c r="C7" s="345" t="n">
        <v>21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10.9411764705882</v>
      </c>
      <c r="P8" s="359" t="n">
        <f aca="false">IF(ISERROR(AVERAGE(K23:K82)),"  ",AVERAGE(K23:K82))</f>
        <v>1.82352941176471</v>
      </c>
      <c r="Q8" s="360"/>
      <c r="R8" s="285"/>
      <c r="S8" s="285"/>
      <c r="T8" s="285"/>
      <c r="U8" s="285"/>
      <c r="V8" s="285"/>
      <c r="W8" s="299"/>
    </row>
    <row r="9" customFormat="false" ht="12.75" hidden="false" customHeight="false" outlineLevel="0" collapsed="false">
      <c r="A9" s="317" t="s">
        <v>3399</v>
      </c>
      <c r="B9" s="344" t="n">
        <v>85</v>
      </c>
      <c r="C9" s="345" t="n">
        <v>3</v>
      </c>
      <c r="D9" s="361"/>
      <c r="E9" s="361"/>
      <c r="F9" s="362" t="n">
        <f aca="false">($B9*$B$7+$C9*$C$7)/100</f>
        <v>67.78</v>
      </c>
      <c r="G9" s="363"/>
      <c r="H9" s="320"/>
      <c r="I9" s="285"/>
      <c r="J9" s="364"/>
      <c r="K9" s="365"/>
      <c r="L9" s="350"/>
      <c r="M9" s="366"/>
      <c r="N9" s="358" t="s">
        <v>3400</v>
      </c>
      <c r="O9" s="359" t="n">
        <f aca="false">IF(ISERROR(STDEVP(J23:J82))," ",STDEVP(J23:J82))</f>
        <v>3.33379466242465</v>
      </c>
      <c r="P9" s="359" t="n">
        <f aca="false">IF(ISERROR(STDEVP(K23:K82)),"  ",STDEVP(K23:K82))</f>
        <v>0.705882352941176</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6</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8</v>
      </c>
      <c r="M13" s="382"/>
      <c r="N13" s="390" t="s">
        <v>3412</v>
      </c>
      <c r="O13" s="391" t="n">
        <f aca="false">COUNTIF(F23:F82,"&gt;0")</f>
        <v>22</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17</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6</v>
      </c>
      <c r="M15" s="382"/>
      <c r="N15" s="390" t="s">
        <v>3418</v>
      </c>
      <c r="O15" s="391" t="n">
        <f aca="false">COUNTIF(K23:K82,"=1")</f>
        <v>6</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8</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0.818181818181818</v>
      </c>
      <c r="N17" s="390" t="s">
        <v>3423</v>
      </c>
      <c r="O17" s="391" t="n">
        <f aca="false">COUNTIF(K23:K82,"=3")</f>
        <v>3</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86.615</v>
      </c>
      <c r="C20" s="434" t="n">
        <f aca="false">SUM(C23:C82)</f>
        <v>3.37</v>
      </c>
      <c r="D20" s="435"/>
      <c r="E20" s="436" t="s">
        <v>3425</v>
      </c>
      <c r="F20" s="437" t="n">
        <f aca="false">($B20*$B$7+$C20*$C$7)/100</f>
        <v>69.13355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68.42585</v>
      </c>
      <c r="C21" s="445" t="n">
        <f aca="false">C20*C7/100</f>
        <v>0.7077</v>
      </c>
      <c r="D21" s="446" t="s">
        <v>3428</v>
      </c>
      <c r="E21" s="447"/>
      <c r="F21" s="448" t="n">
        <f aca="false">B21+C21</f>
        <v>69.13355</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134</v>
      </c>
      <c r="B23" s="474" t="n">
        <v>3</v>
      </c>
      <c r="C23" s="475" t="n">
        <v>0.5</v>
      </c>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2.475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3448</v>
      </c>
      <c r="Q23" s="485" t="n">
        <f aca="false">IF(OR($A23="NEWCOD",$A23="!!!!!!"),IF(X23="","NoCod",X23),IF($A23="","",IF(ISERROR(VLOOKUP($A23,'liste reference'!$A$6:$H$1174,8,0)),IF(ISERROR(VLOOKUP($A23,'liste reference'!$B$6:$H$1174,7,0)),"",VLOOKUP($A23,'liste reference'!$B$6:$H$1174,7,0)),VLOOKUP($A23,'liste reference'!$A$6:$H$1174,8,0))))</f>
        <v>1124</v>
      </c>
      <c r="R23" s="486" t="n">
        <f aca="false">IF(ISTEXT(H23),"",(B23*$B$7/100)+(C23*$C$7/100))</f>
        <v>2.475</v>
      </c>
      <c r="S23" s="487" t="n">
        <f aca="false">IF(OR(ISTEXT(H23),R23=0),"",IF(R23&lt;0.1,1,IF(R23&lt;1,2,IF(R23&lt;10,3,IF(R23&lt;50,4,IF(R23&gt;=50,5,""))))))</f>
        <v>3</v>
      </c>
      <c r="T23" s="487" t="n">
        <f aca="false">IF(ISERROR(S23*J23),0,S23*J23)</f>
        <v>18</v>
      </c>
      <c r="U23" s="487" t="n">
        <f aca="false">IF(ISERROR(S23*J23*K23),0,S23*J23*K23)</f>
        <v>18</v>
      </c>
      <c r="V23" s="487" t="n">
        <f aca="false">IF(ISERROR(S23*K23),0,S23*K23)</f>
        <v>3</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195</v>
      </c>
      <c r="B24" s="491" t="n">
        <v>5</v>
      </c>
      <c r="C24" s="492" t="n">
        <v>0.005</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3.95105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3448</v>
      </c>
      <c r="Q24" s="501" t="n">
        <f aca="false">IF(OR($A24="NEWCOD",$A24="!!!!!!"),IF(X24="","NoCod",X24),IF($A24="","",IF(ISERROR(VLOOKUP($A24,'liste reference'!$A$6:$H$1174,8,0)),IF(ISERROR(VLOOKUP($A24,'liste reference'!$B$6:$H$1174,7,0)),"",VLOOKUP($A24,'liste reference'!$B$6:$H$1174,7,0)),VLOOKUP($A24,'liste reference'!$A$6:$H$1174,8,0))))</f>
        <v>1157</v>
      </c>
      <c r="R24" s="486" t="n">
        <f aca="false">IF(ISTEXT(H24),"",(B24*$B$7/100)+(C24*$C$7/100))</f>
        <v>3.95105</v>
      </c>
      <c r="S24" s="487" t="n">
        <f aca="false">IF(OR(ISTEXT(H24),R24=0),"",IF(R24&lt;0.1,1,IF(R24&lt;1,2,IF(R24&lt;10,3,IF(R24&lt;50,4,IF(R24&gt;=50,5,""))))))</f>
        <v>3</v>
      </c>
      <c r="T24" s="487" t="n">
        <f aca="false">IF(ISERROR(S24*J24),0,S24*J24)</f>
        <v>45</v>
      </c>
      <c r="U24" s="487" t="n">
        <f aca="false">IF(ISERROR(S24*J24*K24),0,S24*J24*K24)</f>
        <v>90</v>
      </c>
      <c r="V24" s="502" t="n">
        <f aca="false">IF(ISERROR(S24*K24),0,S24*K24)</f>
        <v>6</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306</v>
      </c>
      <c r="B25" s="491" t="n">
        <v>0.005</v>
      </c>
      <c r="C25" s="492"/>
      <c r="D25" s="493" t="str">
        <f aca="false">IF(ISERROR(VLOOKUP($A25,'liste reference'!$A$6:$B$1174,2,0)),IF(ISERROR(VLOOKUP($A25,'liste reference'!$B$6:$B$1174,1,0)),"",VLOOKUP($A25,'liste reference'!$B$6:$B$1174,1,0)),VLOOKUP($A25,'liste reference'!$A$6:$B$1174,2,0))</f>
        <v>Paralemanea sp.</v>
      </c>
      <c r="E25" s="494" t="e">
        <f aca="false">IF(D25="",,VLOOKUP(D25,D$22:D24,1,0))</f>
        <v>#N/A</v>
      </c>
      <c r="F25" s="495" t="n">
        <f aca="false">IF(AND(OR(A25="",A25="!!!!!!"),B25="",C25=""),"",IF(OR(AND(B25="",C25=""),ISERROR(C25+B25)),"!!!",($B25*$B$7+$C25*$C$7)/100))</f>
        <v>0.00395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str">
        <f aca="false">IF(ISNUMBER($H25),IF(ISERROR(VLOOKUP($A25,'liste reference'!$A$6:$Q$1174,6,0)),IF(ISERROR(VLOOKUP($A25,'liste reference'!$B$6:$Q$1174,5,0)),"nu",VLOOKUP($A25,'liste reference'!$B$6:$Q$1174,5,0)),VLOOKUP($A25,'liste reference'!$A$6:$Q$1174,6,0)),"nu")</f>
        <v>nc</v>
      </c>
      <c r="K25" s="498" t="str">
        <f aca="false">IF(ISNUMBER($H25),IF(ISERROR(VLOOKUP($A25,'liste reference'!$A$6:$Q$1174,7,0)),IF(ISERROR(VLOOKUP($A25,'liste reference'!$B$6:$Q$1174,6,0)),"nu",VLOOKUP($A25,'liste reference'!$B$6:$Q$1174,6,0)),VLOOKUP($A25,'liste reference'!$A$6:$Q$1174,7,0)),"nu")</f>
        <v>nc</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Paralemanea sp.</v>
      </c>
      <c r="M25" s="499"/>
      <c r="N25" s="499"/>
      <c r="O25" s="499"/>
      <c r="P25" s="500" t="s">
        <v>3448</v>
      </c>
      <c r="Q25" s="501" t="n">
        <f aca="false">IF(OR($A25="NEWCOD",$A25="!!!!!!"),IF(X25="","NoCod",X25),IF($A25="","",IF(ISERROR(VLOOKUP($A25,'liste reference'!$A$6:$H$1174,8,0)),IF(ISERROR(VLOOKUP($A25,'liste reference'!$B$6:$H$1174,7,0)),"",VLOOKUP($A25,'liste reference'!$B$6:$H$1174,7,0)),VLOOKUP($A25,'liste reference'!$A$6:$H$1174,8,0))))</f>
        <v>31566</v>
      </c>
      <c r="R25" s="486" t="n">
        <f aca="false">IF(ISTEXT(H25),"",(B25*$B$7/100)+(C25*$C$7/100))</f>
        <v>0.00395</v>
      </c>
      <c r="S25" s="487" t="n">
        <f aca="false">IF(OR(ISTEXT(H25),R25=0),"",IF(R25&lt;0.1,1,IF(R25&lt;1,2,IF(R25&lt;10,3,IF(R25&lt;50,4,IF(R25&gt;=50,5,""))))))</f>
        <v>1</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PAASPX</v>
      </c>
      <c r="Z25" s="472" t="n">
        <f aca="false">IF(ISERROR(MATCH(A25,'liste reference'!$A$6:$A$1174,0)),IF(ISERROR(MATCH(A25,'liste reference'!$B$6:$B$1174,0)),"",(MATCH(A25,'liste reference'!$B$6:$B$1174,0))),(MATCH(A25,'liste reference'!$A$6:$A$1174,0)))</f>
        <v>87</v>
      </c>
    </row>
    <row r="26" customFormat="false" ht="12.75" hidden="false" customHeight="false" outlineLevel="0" collapsed="false">
      <c r="A26" s="490" t="s">
        <v>309</v>
      </c>
      <c r="B26" s="491" t="n">
        <v>0.005</v>
      </c>
      <c r="C26" s="492"/>
      <c r="D26" s="493" t="str">
        <f aca="false">IF(ISERROR(VLOOKUP($A26,'liste reference'!$A$6:$B$1174,2,0)),IF(ISERROR(VLOOKUP($A26,'liste reference'!$B$6:$B$1174,1,0)),"",VLOOKUP($A26,'liste reference'!$B$6:$B$1174,1,0)),VLOOKUP($A26,'liste reference'!$A$6:$B$1174,2,0))</f>
        <v>Phormidium sp.</v>
      </c>
      <c r="E26" s="494" t="e">
        <f aca="false">IF(D26="",,VLOOKUP(D26,D$22:D25,1,0))</f>
        <v>#N/A</v>
      </c>
      <c r="F26" s="495" t="n">
        <f aca="false">IF(AND(OR(A26="",A26="!!!!!!"),B26="",C26=""),"",IF(OR(AND(B26="",C26=""),ISERROR(C26+B26)),"!!!",($B26*$B$7+$C26*$C$7)/100))</f>
        <v>0.00395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13</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Phormidium sp.</v>
      </c>
      <c r="M26" s="499"/>
      <c r="N26" s="499"/>
      <c r="O26" s="499"/>
      <c r="P26" s="500" t="s">
        <v>3448</v>
      </c>
      <c r="Q26" s="501" t="n">
        <f aca="false">IF(OR($A26="NEWCOD",$A26="!!!!!!"),IF(X26="","NoCod",X26),IF($A26="","",IF(ISERROR(VLOOKUP($A26,'liste reference'!$A$6:$H$1174,8,0)),IF(ISERROR(VLOOKUP($A26,'liste reference'!$B$6:$H$1174,7,0)),"",VLOOKUP($A26,'liste reference'!$B$6:$H$1174,7,0)),VLOOKUP($A26,'liste reference'!$A$6:$H$1174,8,0))))</f>
        <v>6414</v>
      </c>
      <c r="R26" s="486" t="n">
        <f aca="false">IF(ISTEXT(H26),"",(B26*$B$7/100)+(C26*$C$7/100))</f>
        <v>0.00395</v>
      </c>
      <c r="S26" s="487" t="n">
        <f aca="false">IF(OR(ISTEXT(H26),R26=0),"",IF(R26&lt;0.1,1,IF(R26&lt;1,2,IF(R26&lt;10,3,IF(R26&lt;50,4,IF(R26&gt;=50,5,""))))))</f>
        <v>1</v>
      </c>
      <c r="T26" s="487" t="n">
        <f aca="false">IF(ISERROR(S26*J26),0,S26*J26)</f>
        <v>13</v>
      </c>
      <c r="U26" s="487" t="n">
        <f aca="false">IF(ISERROR(S26*J26*K26),0,S26*J26*K26)</f>
        <v>26</v>
      </c>
      <c r="V26" s="502" t="n">
        <f aca="false">IF(ISERROR(S26*K26),0,S26*K26)</f>
        <v>2</v>
      </c>
      <c r="W26" s="503"/>
      <c r="X26" s="504"/>
      <c r="Y26" s="487" t="str">
        <f aca="false">IF(AND(ISNUMBER(F26),OR(A26="",A26="!!!!!!")),"!!!!!!",IF(A26="new.cod","NEWCOD",IF(AND((Z26=""),ISTEXT(A26),A26&lt;&gt;"!!!!!!"),A26,IF(Z26="","",INDEX('liste reference'!$A$6:$A$1174,Z26)))))</f>
        <v>PHOSPX</v>
      </c>
      <c r="Z26" s="472" t="n">
        <f aca="false">IF(ISERROR(MATCH(A26,'liste reference'!$A$6:$A$1174,0)),IF(ISERROR(MATCH(A26,'liste reference'!$B$6:$B$1174,0)),"",(MATCH(A26,'liste reference'!$B$6:$B$1174,0))),(MATCH(A26,'liste reference'!$A$6:$A$1174,0)))</f>
        <v>88</v>
      </c>
    </row>
    <row r="27" customFormat="false" ht="12.75" hidden="false" customHeight="false" outlineLevel="0" collapsed="false">
      <c r="A27" s="490" t="s">
        <v>336</v>
      </c>
      <c r="B27" s="491" t="n">
        <v>0.005</v>
      </c>
      <c r="C27" s="492"/>
      <c r="D27" s="493" t="str">
        <f aca="false">IF(ISERROR(VLOOKUP($A27,'liste reference'!$A$6:$B$1174,2,0)),IF(ISERROR(VLOOKUP($A27,'liste reference'!$B$6:$B$1174,1,0)),"",VLOOKUP($A27,'liste reference'!$B$6:$B$1174,1,0)),VLOOKUP($A27,'liste reference'!$A$6:$B$1174,2,0))</f>
        <v>Scytonema sp.</v>
      </c>
      <c r="E27" s="494" t="e">
        <f aca="false">IF(D27="",,VLOOKUP(D27,D$22:D26,1,0))</f>
        <v>#N/A</v>
      </c>
      <c r="F27" s="495" t="n">
        <f aca="false">IF(AND(OR(A27="",A27="!!!!!!"),B27="",C27=""),"",IF(OR(AND(B27="",C27=""),ISERROR(C27+B27)),"!!!",($B27*$B$7+$C27*$C$7)/100))</f>
        <v>0.00395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Scytonema sp.</v>
      </c>
      <c r="M27" s="499"/>
      <c r="N27" s="499"/>
      <c r="O27" s="499"/>
      <c r="P27" s="500" t="s">
        <v>3449</v>
      </c>
      <c r="Q27" s="501" t="n">
        <f aca="false">IF(OR($A27="NEWCOD",$A27="!!!!!!"),IF(X27="","NoCod",X27),IF($A27="","",IF(ISERROR(VLOOKUP($A27,'liste reference'!$A$6:$H$1174,8,0)),IF(ISERROR(VLOOKUP($A27,'liste reference'!$B$6:$H$1174,7,0)),"",VLOOKUP($A27,'liste reference'!$B$6:$H$1174,7,0)),VLOOKUP($A27,'liste reference'!$A$6:$H$1174,8,0))))</f>
        <v>1114</v>
      </c>
      <c r="R27" s="486" t="n">
        <f aca="false">IF(ISTEXT(H27),"",(B27*$B$7/100)+(C27*$C$7/100))</f>
        <v>0.00395</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SCYSPX</v>
      </c>
      <c r="Z27" s="472" t="n">
        <f aca="false">IF(ISERROR(MATCH(A27,'liste reference'!$A$6:$A$1174,0)),IF(ISERROR(MATCH(A27,'liste reference'!$B$6:$B$1174,0)),"",(MATCH(A27,'liste reference'!$B$6:$B$1174,0))),(MATCH(A27,'liste reference'!$A$6:$A$1174,0)))</f>
        <v>99</v>
      </c>
    </row>
    <row r="28" customFormat="false" ht="12.75" hidden="false" customHeight="false" outlineLevel="0" collapsed="false">
      <c r="A28" s="490" t="s">
        <v>343</v>
      </c>
      <c r="B28" s="491" t="n">
        <v>2.5</v>
      </c>
      <c r="C28" s="492" t="n">
        <v>1.5</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2.29</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3448</v>
      </c>
      <c r="Q28" s="501" t="n">
        <f aca="false">IF(OR($A28="NEWCOD",$A28="!!!!!!"),IF(X28="","NoCod",X28),IF($A28="","",IF(ISERROR(VLOOKUP($A28,'liste reference'!$A$6:$H$1174,8,0)),IF(ISERROR(VLOOKUP($A28,'liste reference'!$B$6:$H$1174,7,0)),"",VLOOKUP($A28,'liste reference'!$B$6:$H$1174,7,0)),VLOOKUP($A28,'liste reference'!$A$6:$H$1174,8,0))))</f>
        <v>1147</v>
      </c>
      <c r="R28" s="486" t="n">
        <f aca="false">IF(ISTEXT(H28),"",(B28*$B$7/100)+(C28*$C$7/100))</f>
        <v>2.29</v>
      </c>
      <c r="S28" s="487" t="n">
        <f aca="false">IF(OR(ISTEXT(H28),R28=0),"",IF(R28&lt;0.1,1,IF(R28&lt;1,2,IF(R28&lt;10,3,IF(R28&lt;50,4,IF(R28&gt;=50,5,""))))))</f>
        <v>3</v>
      </c>
      <c r="T28" s="487" t="n">
        <f aca="false">IF(ISERROR(S28*J28),0,S28*J28)</f>
        <v>30</v>
      </c>
      <c r="U28" s="487" t="n">
        <f aca="false">IF(ISERROR(S28*J28*K28),0,S28*J28*K28)</f>
        <v>30</v>
      </c>
      <c r="V28" s="502" t="n">
        <f aca="false">IF(ISERROR(S28*K28),0,S28*K28)</f>
        <v>3</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704</v>
      </c>
      <c r="B29" s="491" t="n">
        <v>0.2</v>
      </c>
      <c r="C29" s="492"/>
      <c r="D29" s="493" t="str">
        <f aca="false">IF(ISERROR(VLOOKUP($A29,'liste reference'!$A$6:$B$1174,2,0)),IF(ISERROR(VLOOKUP($A29,'liste reference'!$B$6:$B$1174,1,0)),"",VLOOKUP($A29,'liste reference'!$B$6:$B$1174,1,0)),VLOOKUP($A29,'liste reference'!$A$6:$B$1174,2,0))</f>
        <v>Cinclidotus aquaticus</v>
      </c>
      <c r="E29" s="494" t="e">
        <f aca="false">IF(D29="",,VLOOKUP(D29,D$22:D28,1,0))</f>
        <v>#N/A</v>
      </c>
      <c r="F29" s="495" t="n">
        <f aca="false">IF(AND(OR(A29="",A29="!!!!!!"),B29="",C29=""),"",IF(OR(AND(B29="",C29=""),ISERROR(C29+B29)),"!!!",($B29*$B$7+$C29*$C$7)/100))</f>
        <v>0.158</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n">
        <f aca="false">IF(ISNUMBER($H29),IF(ISERROR(VLOOKUP($A29,'liste reference'!$A$6:$Q$1174,6,0)),IF(ISERROR(VLOOKUP($A29,'liste reference'!$B$6:$Q$1174,5,0)),"nu",VLOOKUP($A29,'liste reference'!$B$6:$Q$1174,5,0)),VLOOKUP($A29,'liste reference'!$A$6:$Q$1174,6,0)),"nu")</f>
        <v>15</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Cinclidotus aquaticus</v>
      </c>
      <c r="M29" s="499"/>
      <c r="N29" s="499"/>
      <c r="O29" s="499"/>
      <c r="P29" s="500" t="s">
        <v>3448</v>
      </c>
      <c r="Q29" s="501" t="n">
        <f aca="false">IF(OR($A29="NEWCOD",$A29="!!!!!!"),IF(X29="","NoCod",X29),IF($A29="","",IF(ISERROR(VLOOKUP($A29,'liste reference'!$A$6:$H$1174,8,0)),IF(ISERROR(VLOOKUP($A29,'liste reference'!$B$6:$H$1174,7,0)),"",VLOOKUP($A29,'liste reference'!$B$6:$H$1174,7,0)),VLOOKUP($A29,'liste reference'!$A$6:$H$1174,8,0))))</f>
        <v>1318</v>
      </c>
      <c r="R29" s="486" t="n">
        <f aca="false">IF(ISTEXT(H29),"",(B29*$B$7/100)+(C29*$C$7/100))</f>
        <v>0.158</v>
      </c>
      <c r="S29" s="487" t="n">
        <f aca="false">IF(OR(ISTEXT(H29),R29=0),"",IF(R29&lt;0.1,1,IF(R29&lt;1,2,IF(R29&lt;10,3,IF(R29&lt;50,4,IF(R29&gt;=50,5,""))))))</f>
        <v>2</v>
      </c>
      <c r="T29" s="487" t="n">
        <f aca="false">IF(ISERROR(S29*J29),0,S29*J29)</f>
        <v>30</v>
      </c>
      <c r="U29" s="487" t="n">
        <f aca="false">IF(ISERROR(S29*J29*K29),0,S29*J29*K29)</f>
        <v>60</v>
      </c>
      <c r="V29" s="502" t="n">
        <f aca="false">IF(ISERROR(S29*K29),0,S29*K29)</f>
        <v>4</v>
      </c>
      <c r="W29" s="503"/>
      <c r="X29" s="504"/>
      <c r="Y29" s="487" t="str">
        <f aca="false">IF(AND(ISNUMBER(F29),OR(A29="",A29="!!!!!!")),"!!!!!!",IF(A29="new.cod","NEWCOD",IF(AND((Z29=""),ISTEXT(A29),A29&lt;&gt;"!!!!!!"),A29,IF(Z29="","",INDEX('liste reference'!$A$6:$A$1174,Z29)))))</f>
        <v>CINAQU</v>
      </c>
      <c r="Z29" s="472" t="n">
        <f aca="false">IF(ISERROR(MATCH(A29,'liste reference'!$A$6:$A$1174,0)),IF(ISERROR(MATCH(A29,'liste reference'!$B$6:$B$1174,0)),"",(MATCH(A29,'liste reference'!$B$6:$B$1174,0))),(MATCH(A29,'liste reference'!$A$6:$A$1174,0)))</f>
        <v>221</v>
      </c>
    </row>
    <row r="30" customFormat="false" ht="12.75" hidden="false" customHeight="false" outlineLevel="0" collapsed="false">
      <c r="A30" s="490" t="s">
        <v>707</v>
      </c>
      <c r="B30" s="491" t="n">
        <v>0.5</v>
      </c>
      <c r="C30" s="492"/>
      <c r="D30" s="493" t="str">
        <f aca="false">IF(ISERROR(VLOOKUP($A30,'liste reference'!$A$6:$B$1174,2,0)),IF(ISERROR(VLOOKUP($A30,'liste reference'!$B$6:$B$1174,1,0)),"",VLOOKUP($A30,'liste reference'!$B$6:$B$1174,1,0)),VLOOKUP($A30,'liste reference'!$A$6:$B$1174,2,0))</f>
        <v>Cinclidotus danubicus</v>
      </c>
      <c r="E30" s="494" t="e">
        <f aca="false">IF(D30="",,VLOOKUP(D30,D$22:D29,1,0))</f>
        <v>#N/A</v>
      </c>
      <c r="F30" s="495" t="n">
        <f aca="false">IF(AND(OR(A30="",A30="!!!!!!"),B30="",C30=""),"",IF(OR(AND(B30="",C30=""),ISERROR(C30+B30)),"!!!",($B30*$B$7+$C30*$C$7)/100))</f>
        <v>0.395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13</v>
      </c>
      <c r="K30" s="498" t="n">
        <f aca="false">IF(ISNUMBER($H30),IF(ISERROR(VLOOKUP($A30,'liste reference'!$A$6:$Q$1174,7,0)),IF(ISERROR(VLOOKUP($A30,'liste reference'!$B$6:$Q$1174,6,0)),"nu",VLOOKUP($A30,'liste reference'!$B$6:$Q$1174,6,0)),VLOOKUP($A30,'liste reference'!$A$6:$Q$1174,7,0)),"nu")</f>
        <v>3</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Cinclidotus danubicus</v>
      </c>
      <c r="M30" s="499"/>
      <c r="N30" s="499"/>
      <c r="O30" s="499"/>
      <c r="P30" s="500" t="s">
        <v>3448</v>
      </c>
      <c r="Q30" s="501" t="n">
        <f aca="false">IF(OR($A30="NEWCOD",$A30="!!!!!!"),IF(X30="","NoCod",X30),IF($A30="","",IF(ISERROR(VLOOKUP($A30,'liste reference'!$A$6:$H$1174,8,0)),IF(ISERROR(VLOOKUP($A30,'liste reference'!$B$6:$H$1174,7,0)),"",VLOOKUP($A30,'liste reference'!$B$6:$H$1174,7,0)),VLOOKUP($A30,'liste reference'!$A$6:$H$1174,8,0))))</f>
        <v>1319</v>
      </c>
      <c r="R30" s="486" t="n">
        <f aca="false">IF(ISTEXT(H30),"",(B30*$B$7/100)+(C30*$C$7/100))</f>
        <v>0.395</v>
      </c>
      <c r="S30" s="487" t="n">
        <f aca="false">IF(OR(ISTEXT(H30),R30=0),"",IF(R30&lt;0.1,1,IF(R30&lt;1,2,IF(R30&lt;10,3,IF(R30&lt;50,4,IF(R30&gt;=50,5,""))))))</f>
        <v>2</v>
      </c>
      <c r="T30" s="487" t="n">
        <f aca="false">IF(ISERROR(S30*J30),0,S30*J30)</f>
        <v>26</v>
      </c>
      <c r="U30" s="487" t="n">
        <f aca="false">IF(ISERROR(S30*J30*K30),0,S30*J30*K30)</f>
        <v>78</v>
      </c>
      <c r="V30" s="502" t="n">
        <f aca="false">IF(ISERROR(S30*K30),0,S30*K30)</f>
        <v>6</v>
      </c>
      <c r="W30" s="503"/>
      <c r="X30" s="504"/>
      <c r="Y30" s="487" t="str">
        <f aca="false">IF(AND(ISNUMBER(F30),OR(A30="",A30="!!!!!!")),"!!!!!!",IF(A30="new.cod","NEWCOD",IF(AND((Z30=""),ISTEXT(A30),A30&lt;&gt;"!!!!!!"),A30,IF(Z30="","",INDEX('liste reference'!$A$6:$A$1174,Z30)))))</f>
        <v>CINDAN</v>
      </c>
      <c r="Z30" s="472" t="n">
        <f aca="false">IF(ISERROR(MATCH(A30,'liste reference'!$A$6:$A$1174,0)),IF(ISERROR(MATCH(A30,'liste reference'!$B$6:$B$1174,0)),"",(MATCH(A30,'liste reference'!$B$6:$B$1174,0))),(MATCH(A30,'liste reference'!$A$6:$A$1174,0)))</f>
        <v>222</v>
      </c>
    </row>
    <row r="31" customFormat="false" ht="12.75" hidden="false" customHeight="false" outlineLevel="0" collapsed="false">
      <c r="A31" s="490" t="s">
        <v>712</v>
      </c>
      <c r="B31" s="491" t="n">
        <v>0.005</v>
      </c>
      <c r="C31" s="492"/>
      <c r="D31" s="493" t="str">
        <f aca="false">IF(ISERROR(VLOOKUP($A31,'liste reference'!$A$6:$B$1174,2,0)),IF(ISERROR(VLOOKUP($A31,'liste reference'!$B$6:$B$1174,1,0)),"",VLOOKUP($A31,'liste reference'!$B$6:$B$1174,1,0)),VLOOKUP($A31,'liste reference'!$A$6:$B$1174,2,0))</f>
        <v>Cinclidotus riparius</v>
      </c>
      <c r="E31" s="494" t="e">
        <f aca="false">IF(D31="",,VLOOKUP(D31,D$22:D30,1,0))</f>
        <v>#N/A</v>
      </c>
      <c r="F31" s="495" t="n">
        <f aca="false">IF(AND(OR(A31="",A31="!!!!!!"),B31="",C31=""),"",IF(OR(AND(B31="",C31=""),ISERROR(C31+B31)),"!!!",($B31*$B$7+$C31*$C$7)/100))</f>
        <v>0.00395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13</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Cinclidotus riparius</v>
      </c>
      <c r="M31" s="499"/>
      <c r="N31" s="499"/>
      <c r="O31" s="499"/>
      <c r="P31" s="500" t="s">
        <v>3448</v>
      </c>
      <c r="Q31" s="501" t="n">
        <f aca="false">IF(OR($A31="NEWCOD",$A31="!!!!!!"),IF(X31="","NoCod",X31),IF($A31="","",IF(ISERROR(VLOOKUP($A31,'liste reference'!$A$6:$H$1174,8,0)),IF(ISERROR(VLOOKUP($A31,'liste reference'!$B$6:$H$1174,7,0)),"",VLOOKUP($A31,'liste reference'!$B$6:$H$1174,7,0)),VLOOKUP($A31,'liste reference'!$A$6:$H$1174,8,0))))</f>
        <v>1321</v>
      </c>
      <c r="R31" s="486" t="n">
        <f aca="false">IF(ISTEXT(H31),"",(B31*$B$7/100)+(C31*$C$7/100))</f>
        <v>0.00395</v>
      </c>
      <c r="S31" s="487" t="n">
        <f aca="false">IF(OR(ISTEXT(H31),R31=0),"",IF(R31&lt;0.1,1,IF(R31&lt;1,2,IF(R31&lt;10,3,IF(R31&lt;50,4,IF(R31&gt;=50,5,""))))))</f>
        <v>1</v>
      </c>
      <c r="T31" s="487" t="n">
        <f aca="false">IF(ISERROR(S31*J31),0,S31*J31)</f>
        <v>13</v>
      </c>
      <c r="U31" s="487" t="n">
        <f aca="false">IF(ISERROR(S31*J31*K31),0,S31*J31*K31)</f>
        <v>26</v>
      </c>
      <c r="V31" s="502" t="n">
        <f aca="false">IF(ISERROR(S31*K31),0,S31*K31)</f>
        <v>2</v>
      </c>
      <c r="W31" s="503"/>
      <c r="X31" s="504"/>
      <c r="Y31" s="487" t="str">
        <f aca="false">IF(AND(ISNUMBER(F31),OR(A31="",A31="!!!!!!")),"!!!!!!",IF(A31="new.cod","NEWCOD",IF(AND((Z31=""),ISTEXT(A31),A31&lt;&gt;"!!!!!!"),A31,IF(Z31="","",INDEX('liste reference'!$A$6:$A$1174,Z31)))))</f>
        <v>CINRIP</v>
      </c>
      <c r="Z31" s="472" t="n">
        <f aca="false">IF(ISERROR(MATCH(A31,'liste reference'!$A$6:$A$1174,0)),IF(ISERROR(MATCH(A31,'liste reference'!$B$6:$B$1174,0)),"",(MATCH(A31,'liste reference'!$B$6:$B$1174,0))),(MATCH(A31,'liste reference'!$A$6:$A$1174,0)))</f>
        <v>224</v>
      </c>
    </row>
    <row r="32" customFormat="false" ht="12.75" hidden="false" customHeight="false" outlineLevel="0" collapsed="false">
      <c r="A32" s="490" t="s">
        <v>723</v>
      </c>
      <c r="B32" s="491" t="n">
        <v>0.005</v>
      </c>
      <c r="C32" s="492"/>
      <c r="D32" s="493" t="str">
        <f aca="false">IF(ISERROR(VLOOKUP($A32,'liste reference'!$A$6:$B$1174,2,0)),IF(ISERROR(VLOOKUP($A32,'liste reference'!$B$6:$B$1174,1,0)),"",VLOOKUP($A32,'liste reference'!$B$6:$B$1174,1,0)),VLOOKUP($A32,'liste reference'!$A$6:$B$1174,2,0))</f>
        <v>Cratoneuron filicinum</v>
      </c>
      <c r="E32" s="494" t="e">
        <f aca="false">IF(D32="",,VLOOKUP(D32,D$22:D31,1,0))</f>
        <v>#N/A</v>
      </c>
      <c r="F32" s="495" t="n">
        <f aca="false">IF(AND(OR(A32="",A32="!!!!!!"),B32="",C32=""),"",IF(OR(AND(B32="",C32=""),ISERROR(C32+B32)),"!!!",($B32*$B$7+$C32*$C$7)/100))</f>
        <v>0.00395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18</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Cratoneuron filicinum</v>
      </c>
      <c r="M32" s="499"/>
      <c r="N32" s="499"/>
      <c r="O32" s="499"/>
      <c r="P32" s="500" t="s">
        <v>3448</v>
      </c>
      <c r="Q32" s="501" t="n">
        <f aca="false">IF(OR($A32="NEWCOD",$A32="!!!!!!"),IF(X32="","NoCod",X32),IF($A32="","",IF(ISERROR(VLOOKUP($A32,'liste reference'!$A$6:$H$1174,8,0)),IF(ISERROR(VLOOKUP($A32,'liste reference'!$B$6:$H$1174,7,0)),"",VLOOKUP($A32,'liste reference'!$B$6:$H$1174,7,0)),VLOOKUP($A32,'liste reference'!$A$6:$H$1174,8,0))))</f>
        <v>1233</v>
      </c>
      <c r="R32" s="486" t="n">
        <f aca="false">IF(ISTEXT(H32),"",(B32*$B$7/100)+(C32*$C$7/100))</f>
        <v>0.00395</v>
      </c>
      <c r="S32" s="487" t="n">
        <f aca="false">IF(OR(ISTEXT(H32),R32=0),"",IF(R32&lt;0.1,1,IF(R32&lt;1,2,IF(R32&lt;10,3,IF(R32&lt;50,4,IF(R32&gt;=50,5,""))))))</f>
        <v>1</v>
      </c>
      <c r="T32" s="487" t="n">
        <f aca="false">IF(ISERROR(S32*J32),0,S32*J32)</f>
        <v>18</v>
      </c>
      <c r="U32" s="487" t="n">
        <f aca="false">IF(ISERROR(S32*J32*K32),0,S32*J32*K32)</f>
        <v>54</v>
      </c>
      <c r="V32" s="502" t="n">
        <f aca="false">IF(ISERROR(S32*K32),0,S32*K32)</f>
        <v>3</v>
      </c>
      <c r="W32" s="503"/>
      <c r="X32" s="504"/>
      <c r="Y32" s="487" t="str">
        <f aca="false">IF(AND(ISNUMBER(F32),OR(A32="",A32="!!!!!!")),"!!!!!!",IF(A32="new.cod","NEWCOD",IF(AND((Z32=""),ISTEXT(A32),A32&lt;&gt;"!!!!!!"),A32,IF(Z32="","",INDEX('liste reference'!$A$6:$A$1174,Z32)))))</f>
        <v>CRAFIL</v>
      </c>
      <c r="Z32" s="472" t="n">
        <f aca="false">IF(ISERROR(MATCH(A32,'liste reference'!$A$6:$A$1174,0)),IF(ISERROR(MATCH(A32,'liste reference'!$B$6:$B$1174,0)),"",(MATCH(A32,'liste reference'!$B$6:$B$1174,0))),(MATCH(A32,'liste reference'!$A$6:$A$1174,0)))</f>
        <v>227</v>
      </c>
    </row>
    <row r="33" customFormat="false" ht="12.75" hidden="false" customHeight="false" outlineLevel="0" collapsed="false">
      <c r="A33" s="490" t="s">
        <v>830</v>
      </c>
      <c r="B33" s="491" t="n">
        <v>0.005</v>
      </c>
      <c r="C33" s="492"/>
      <c r="D33" s="493" t="str">
        <f aca="false">IF(ISERROR(VLOOKUP($A33,'liste reference'!$A$6:$B$1174,2,0)),IF(ISERROR(VLOOKUP($A33,'liste reference'!$B$6:$B$1174,1,0)),"",VLOOKUP($A33,'liste reference'!$B$6:$B$1174,1,0)),VLOOKUP($A33,'liste reference'!$A$6:$B$1174,2,0))</f>
        <v>Fissidens crassipes</v>
      </c>
      <c r="E33" s="494" t="e">
        <f aca="false">IF(D33="",,VLOOKUP(D33,D$22:D32,1,0))</f>
        <v>#N/A</v>
      </c>
      <c r="F33" s="495" t="n">
        <f aca="false">IF(AND(OR(A33="",A33="!!!!!!"),B33="",C33=""),"",IF(OR(AND(B33="",C33=""),ISERROR(C33+B33)),"!!!",($B33*$B$7+$C33*$C$7)/100))</f>
        <v>0.00395</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2</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Fissidens crassipes</v>
      </c>
      <c r="M33" s="499"/>
      <c r="N33" s="499"/>
      <c r="O33" s="499"/>
      <c r="P33" s="500" t="s">
        <v>3448</v>
      </c>
      <c r="Q33" s="501" t="n">
        <f aca="false">IF(OR($A33="NEWCOD",$A33="!!!!!!"),IF(X33="","NoCod",X33),IF($A33="","",IF(ISERROR(VLOOKUP($A33,'liste reference'!$A$6:$H$1174,8,0)),IF(ISERROR(VLOOKUP($A33,'liste reference'!$B$6:$H$1174,7,0)),"",VLOOKUP($A33,'liste reference'!$B$6:$H$1174,7,0)),VLOOKUP($A33,'liste reference'!$A$6:$H$1174,8,0))))</f>
        <v>1294</v>
      </c>
      <c r="R33" s="486" t="n">
        <f aca="false">IF(ISTEXT(H33),"",(B33*$B$7/100)+(C33*$C$7/100))</f>
        <v>0.00395</v>
      </c>
      <c r="S33" s="487" t="n">
        <f aca="false">IF(OR(ISTEXT(H33),R33=0),"",IF(R33&lt;0.1,1,IF(R33&lt;1,2,IF(R33&lt;10,3,IF(R33&lt;50,4,IF(R33&gt;=50,5,""))))))</f>
        <v>1</v>
      </c>
      <c r="T33" s="487" t="n">
        <f aca="false">IF(ISERROR(S33*J33),0,S33*J33)</f>
        <v>12</v>
      </c>
      <c r="U33" s="487" t="n">
        <f aca="false">IF(ISERROR(S33*J33*K33),0,S33*J33*K33)</f>
        <v>24</v>
      </c>
      <c r="V33" s="502" t="n">
        <f aca="false">IF(ISERROR(S33*K33),0,S33*K33)</f>
        <v>2</v>
      </c>
      <c r="W33" s="503"/>
      <c r="X33" s="504"/>
      <c r="Y33" s="487" t="str">
        <f aca="false">IF(AND(ISNUMBER(F33),OR(A33="",A33="!!!!!!")),"!!!!!!",IF(A33="new.cod","NEWCOD",IF(AND((Z33=""),ISTEXT(A33),A33&lt;&gt;"!!!!!!"),A33,IF(Z33="","",INDEX('liste reference'!$A$6:$A$1174,Z33)))))</f>
        <v>FISCRA</v>
      </c>
      <c r="Z33" s="472" t="n">
        <f aca="false">IF(ISERROR(MATCH(A33,'liste reference'!$A$6:$A$1174,0)),IF(ISERROR(MATCH(A33,'liste reference'!$B$6:$B$1174,0)),"",(MATCH(A33,'liste reference'!$B$6:$B$1174,0))),(MATCH(A33,'liste reference'!$A$6:$A$1174,0)))</f>
        <v>255</v>
      </c>
    </row>
    <row r="34" customFormat="false" ht="12.75" hidden="false" customHeight="false" outlineLevel="0" collapsed="false">
      <c r="A34" s="490" t="s">
        <v>844</v>
      </c>
      <c r="B34" s="491" t="n">
        <v>0.01</v>
      </c>
      <c r="C34" s="492"/>
      <c r="D34" s="493" t="str">
        <f aca="false">IF(ISERROR(VLOOKUP($A34,'liste reference'!$A$6:$B$1174,2,0)),IF(ISERROR(VLOOKUP($A34,'liste reference'!$B$6:$B$1174,1,0)),"",VLOOKUP($A34,'liste reference'!$B$6:$B$1174,1,0)),VLOOKUP($A34,'liste reference'!$A$6:$B$1174,2,0))</f>
        <v>Fissidens fontanus</v>
      </c>
      <c r="E34" s="494" t="e">
        <f aca="false">IF(D34="",,VLOOKUP(D34,D$22:D33,1,0))</f>
        <v>#N/A</v>
      </c>
      <c r="F34" s="495" t="n">
        <f aca="false">IF(AND(OR(A34="",A34="!!!!!!"),B34="",C34=""),"",IF(OR(AND(B34="",C34=""),ISERROR(C34+B34)),"!!!",($B34*$B$7+$C34*$C$7)/100))</f>
        <v>0.0079</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7</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Fissidens fontanus</v>
      </c>
      <c r="M34" s="499"/>
      <c r="N34" s="499"/>
      <c r="O34" s="499"/>
      <c r="P34" s="500" t="s">
        <v>3448</v>
      </c>
      <c r="Q34" s="501" t="n">
        <f aca="false">IF(OR($A34="NEWCOD",$A34="!!!!!!"),IF(X34="","NoCod",X34),IF($A34="","",IF(ISERROR(VLOOKUP($A34,'liste reference'!$A$6:$H$1174,8,0)),IF(ISERROR(VLOOKUP($A34,'liste reference'!$B$6:$H$1174,7,0)),"",VLOOKUP($A34,'liste reference'!$B$6:$H$1174,7,0)),VLOOKUP($A34,'liste reference'!$A$6:$H$1174,8,0))))</f>
        <v>31545</v>
      </c>
      <c r="R34" s="486" t="n">
        <f aca="false">IF(ISTEXT(H34),"",(B34*$B$7/100)+(C34*$C$7/100))</f>
        <v>0.0079</v>
      </c>
      <c r="S34" s="487" t="n">
        <f aca="false">IF(OR(ISTEXT(H34),R34=0),"",IF(R34&lt;0.1,1,IF(R34&lt;1,2,IF(R34&lt;10,3,IF(R34&lt;50,4,IF(R34&gt;=50,5,""))))))</f>
        <v>1</v>
      </c>
      <c r="T34" s="487" t="n">
        <f aca="false">IF(ISERROR(S34*J34),0,S34*J34)</f>
        <v>7</v>
      </c>
      <c r="U34" s="487" t="n">
        <f aca="false">IF(ISERROR(S34*J34*K34),0,S34*J34*K34)</f>
        <v>21</v>
      </c>
      <c r="V34" s="502" t="n">
        <f aca="false">IF(ISERROR(S34*K34),0,S34*K34)</f>
        <v>3</v>
      </c>
      <c r="W34" s="503"/>
      <c r="X34" s="504"/>
      <c r="Y34" s="487" t="str">
        <f aca="false">IF(AND(ISNUMBER(F34),OR(A34="",A34="!!!!!!")),"!!!!!!",IF(A34="new.cod","NEWCOD",IF(AND((Z34=""),ISTEXT(A34),A34&lt;&gt;"!!!!!!"),A34,IF(Z34="","",INDEX('liste reference'!$A$6:$A$1174,Z34)))))</f>
        <v>FISFON</v>
      </c>
      <c r="Z34" s="472" t="n">
        <f aca="false">IF(ISERROR(MATCH(A34,'liste reference'!$A$6:$A$1174,0)),IF(ISERROR(MATCH(A34,'liste reference'!$B$6:$B$1174,0)),"",(MATCH(A34,'liste reference'!$B$6:$B$1174,0))),(MATCH(A34,'liste reference'!$A$6:$A$1174,0)))</f>
        <v>259</v>
      </c>
    </row>
    <row r="35" customFormat="false" ht="12.75" hidden="false" customHeight="false" outlineLevel="0" collapsed="false">
      <c r="A35" s="490" t="s">
        <v>974</v>
      </c>
      <c r="B35" s="491" t="n">
        <v>0.005</v>
      </c>
      <c r="C35" s="492"/>
      <c r="D35" s="493" t="str">
        <f aca="false">IF(ISERROR(VLOOKUP($A35,'liste reference'!$A$6:$B$1174,2,0)),IF(ISERROR(VLOOKUP($A35,'liste reference'!$B$6:$B$1174,1,0)),"",VLOOKUP($A35,'liste reference'!$B$6:$B$1174,1,0)),VLOOKUP($A35,'liste reference'!$A$6:$B$1174,2,0))</f>
        <v>Leptodictyum riparium </v>
      </c>
      <c r="E35" s="494" t="e">
        <f aca="false">IF(D35="",,VLOOKUP(D35,D$22:D34,1,0))</f>
        <v>#N/A</v>
      </c>
      <c r="F35" s="495" t="n">
        <f aca="false">IF(AND(OR(A35="",A35="!!!!!!"),B35="",C35=""),"",IF(OR(AND(B35="",C35=""),ISERROR(C35+B35)),"!!!",($B35*$B$7+$C35*$C$7)/100))</f>
        <v>0.00395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5</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Leptodictyum riparium </v>
      </c>
      <c r="M35" s="499"/>
      <c r="N35" s="499"/>
      <c r="O35" s="499"/>
      <c r="P35" s="500" t="s">
        <v>3448</v>
      </c>
      <c r="Q35" s="501" t="n">
        <f aca="false">IF(OR($A35="NEWCOD",$A35="!!!!!!"),IF(X35="","NoCod",X35),IF($A35="","",IF(ISERROR(VLOOKUP($A35,'liste reference'!$A$6:$H$1174,8,0)),IF(ISERROR(VLOOKUP($A35,'liste reference'!$B$6:$H$1174,7,0)),"",VLOOKUP($A35,'liste reference'!$B$6:$H$1174,7,0)),VLOOKUP($A35,'liste reference'!$A$6:$H$1174,8,0))))</f>
        <v>1244</v>
      </c>
      <c r="R35" s="486" t="n">
        <f aca="false">IF(ISTEXT(H35),"",(B35*$B$7/100)+(C35*$C$7/100))</f>
        <v>0.00395</v>
      </c>
      <c r="S35" s="487" t="n">
        <f aca="false">IF(OR(ISTEXT(H35),R35=0),"",IF(R35&lt;0.1,1,IF(R35&lt;1,2,IF(R35&lt;10,3,IF(R35&lt;50,4,IF(R35&gt;=50,5,""))))))</f>
        <v>1</v>
      </c>
      <c r="T35" s="487" t="n">
        <f aca="false">IF(ISERROR(S35*J35),0,S35*J35)</f>
        <v>5</v>
      </c>
      <c r="U35" s="487" t="n">
        <f aca="false">IF(ISERROR(S35*J35*K35),0,S35*J35*K35)</f>
        <v>10</v>
      </c>
      <c r="V35" s="502" t="n">
        <f aca="false">IF(ISERROR(S35*K35),0,S35*K35)</f>
        <v>2</v>
      </c>
      <c r="W35" s="503"/>
      <c r="X35" s="504"/>
      <c r="Y35" s="487" t="str">
        <f aca="false">IF(AND(ISNUMBER(F35),OR(A35="",A35="!!!!!!")),"!!!!!!",IF(A35="new.cod","NEWCOD",IF(AND((Z35=""),ISTEXT(A35),A35&lt;&gt;"!!!!!!"),A35,IF(Z35="","",INDEX('liste reference'!$A$6:$A$1174,Z35)))))</f>
        <v>LEORIP</v>
      </c>
      <c r="Z35" s="472" t="n">
        <f aca="false">IF(ISERROR(MATCH(A35,'liste reference'!$A$6:$A$1174,0)),IF(ISERROR(MATCH(A35,'liste reference'!$B$6:$B$1174,0)),"",(MATCH(A35,'liste reference'!$B$6:$B$1174,0))),(MATCH(A35,'liste reference'!$A$6:$A$1174,0)))</f>
        <v>298</v>
      </c>
    </row>
    <row r="36" customFormat="false" ht="12.75" hidden="false" customHeight="false" outlineLevel="0" collapsed="false">
      <c r="A36" s="490" t="s">
        <v>1122</v>
      </c>
      <c r="B36" s="491" t="n">
        <v>0.1</v>
      </c>
      <c r="C36" s="492"/>
      <c r="D36" s="493" t="str">
        <f aca="false">IF(ISERROR(VLOOKUP($A36,'liste reference'!$A$6:$B$1174,2,0)),IF(ISERROR(VLOOKUP($A36,'liste reference'!$B$6:$B$1174,1,0)),"",VLOOKUP($A36,'liste reference'!$B$6:$B$1174,1,0)),VLOOKUP($A36,'liste reference'!$A$6:$B$1174,2,0))</f>
        <v>Rhynchostegium riparioides</v>
      </c>
      <c r="E36" s="494" t="e">
        <f aca="false">IF(D36="",,VLOOKUP(D36,D$22:D35,1,0))</f>
        <v>#N/A</v>
      </c>
      <c r="F36" s="495" t="n">
        <f aca="false">IF(AND(OR(A36="",A36="!!!!!!"),B36="",C36=""),"",IF(OR(AND(B36="",C36=""),ISERROR(C36+B36)),"!!!",($B36*$B$7+$C36*$C$7)/100))</f>
        <v>0.079</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12</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Rhynchostegium riparioides</v>
      </c>
      <c r="M36" s="499"/>
      <c r="N36" s="499"/>
      <c r="O36" s="499"/>
      <c r="P36" s="500" t="s">
        <v>3448</v>
      </c>
      <c r="Q36" s="501" t="n">
        <f aca="false">IF(OR($A36="NEWCOD",$A36="!!!!!!"),IF(X36="","NoCod",X36),IF($A36="","",IF(ISERROR(VLOOKUP($A36,'liste reference'!$A$6:$H$1174,8,0)),IF(ISERROR(VLOOKUP($A36,'liste reference'!$B$6:$H$1174,7,0)),"",VLOOKUP($A36,'liste reference'!$B$6:$H$1174,7,0)),VLOOKUP($A36,'liste reference'!$A$6:$H$1174,8,0))))</f>
        <v>31691</v>
      </c>
      <c r="R36" s="486" t="n">
        <f aca="false">IF(ISTEXT(H36),"",(B36*$B$7/100)+(C36*$C$7/100))</f>
        <v>0.079</v>
      </c>
      <c r="S36" s="487" t="n">
        <f aca="false">IF(OR(ISTEXT(H36),R36=0),"",IF(R36&lt;0.1,1,IF(R36&lt;1,2,IF(R36&lt;10,3,IF(R36&lt;50,4,IF(R36&gt;=50,5,""))))))</f>
        <v>1</v>
      </c>
      <c r="T36" s="487" t="n">
        <f aca="false">IF(ISERROR(S36*J36),0,S36*J36)</f>
        <v>12</v>
      </c>
      <c r="U36" s="487" t="n">
        <f aca="false">IF(ISERROR(S36*J36*K36),0,S36*J36*K36)</f>
        <v>12</v>
      </c>
      <c r="V36" s="502" t="n">
        <f aca="false">IF(ISERROR(S36*K36),0,S36*K36)</f>
        <v>1</v>
      </c>
      <c r="W36" s="503"/>
      <c r="X36" s="504"/>
      <c r="Y36" s="487" t="str">
        <f aca="false">IF(AND(ISNUMBER(F36),OR(A36="",A36="!!!!!!")),"!!!!!!",IF(A36="new.cod","NEWCOD",IF(AND((Z36=""),ISTEXT(A36),A36&lt;&gt;"!!!!!!"),A36,IF(Z36="","",INDEX('liste reference'!$A$6:$A$1174,Z36)))))</f>
        <v>RHYRIP</v>
      </c>
      <c r="Z36" s="472" t="n">
        <f aca="false">IF(ISERROR(MATCH(A36,'liste reference'!$A$6:$A$1174,0)),IF(ISERROR(MATCH(A36,'liste reference'!$B$6:$B$1174,0)),"",(MATCH(A36,'liste reference'!$B$6:$B$1174,0))),(MATCH(A36,'liste reference'!$A$6:$A$1174,0)))</f>
        <v>345</v>
      </c>
    </row>
    <row r="37" customFormat="false" ht="12.75" hidden="false" customHeight="false" outlineLevel="0" collapsed="false">
      <c r="A37" s="490" t="s">
        <v>1255</v>
      </c>
      <c r="B37" s="491" t="n">
        <v>0.005</v>
      </c>
      <c r="C37" s="492"/>
      <c r="D37" s="493" t="str">
        <f aca="false">IF(ISERROR(VLOOKUP($A37,'liste reference'!$A$6:$B$1174,2,0)),IF(ISERROR(VLOOKUP($A37,'liste reference'!$B$6:$B$1174,1,0)),"",VLOOKUP($A37,'liste reference'!$B$6:$B$1174,1,0)),VLOOKUP($A37,'liste reference'!$A$6:$B$1174,2,0))</f>
        <v>Equisetum arvense</v>
      </c>
      <c r="E37" s="494" t="e">
        <f aca="false">IF(D37="",,VLOOKUP(D37,D$22:D36,1,0))</f>
        <v>#N/A</v>
      </c>
      <c r="F37" s="495" t="n">
        <f aca="false">IF(AND(OR(A37="",A37="!!!!!!"),B37="",C37=""),"",IF(OR(AND(B37="",C37=""),ISERROR(C37+B37)),"!!!",($B37*$B$7+$C37*$C$7)/100))</f>
        <v>0.00395</v>
      </c>
      <c r="G37" s="496" t="str">
        <f aca="false">IF(A37="","",IF(ISERROR(VLOOKUP($A37,'liste reference'!$A$6:$Q$1174,9,0)),IF(ISERROR(VLOOKUP($A37,'liste reference'!$B$6:$Q$1174,8,0)),"    -",VLOOKUP($A37,'liste reference'!$B$6:$Q$1174,8,0)),VLOOKUP($A37,'liste reference'!$A$6:$Q$1174,9,0)))</f>
        <v>PTE</v>
      </c>
      <c r="H37" s="497" t="n">
        <f aca="false">IF(A37="","x",IF(ISERROR(VLOOKUP($A37,'liste reference'!$A$6:$Q$1174,10,0)),IF(ISERROR(VLOOKUP($A37,'liste reference'!$B$6:$Q$1174,9,0)),"x",VLOOKUP($A37,'liste reference'!$B$6:$Q$1174,9,0)),VLOOKUP($A37,'liste reference'!$A$6:$Q$1174,10,0)))</f>
        <v>6</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Equisetum arvense</v>
      </c>
      <c r="M37" s="499"/>
      <c r="N37" s="499"/>
      <c r="O37" s="499"/>
      <c r="P37" s="500" t="s">
        <v>3448</v>
      </c>
      <c r="Q37" s="501" t="n">
        <f aca="false">IF(OR($A37="NEWCOD",$A37="!!!!!!"),IF(X37="","NoCod",X37),IF($A37="","",IF(ISERROR(VLOOKUP($A37,'liste reference'!$A$6:$H$1174,8,0)),IF(ISERROR(VLOOKUP($A37,'liste reference'!$B$6:$H$1174,7,0)),"",VLOOKUP($A37,'liste reference'!$B$6:$H$1174,7,0)),VLOOKUP($A37,'liste reference'!$A$6:$H$1174,8,0))))</f>
        <v>1384</v>
      </c>
      <c r="R37" s="486" t="n">
        <f aca="false">IF(ISTEXT(H37),"",(B37*$B$7/100)+(C37*$C$7/100))</f>
        <v>0.00395</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EQUARV</v>
      </c>
      <c r="Z37" s="472" t="n">
        <f aca="false">IF(ISERROR(MATCH(A37,'liste reference'!$A$6:$A$1174,0)),IF(ISERROR(MATCH(A37,'liste reference'!$B$6:$B$1174,0)),"",(MATCH(A37,'liste reference'!$B$6:$B$1174,0))),(MATCH(A37,'liste reference'!$A$6:$A$1174,0)))</f>
        <v>385</v>
      </c>
    </row>
    <row r="38" customFormat="false" ht="12.75" hidden="false" customHeight="false" outlineLevel="0" collapsed="false">
      <c r="A38" s="490" t="s">
        <v>1522</v>
      </c>
      <c r="B38" s="491" t="n">
        <v>0.005</v>
      </c>
      <c r="C38" s="492" t="n">
        <v>0.005</v>
      </c>
      <c r="D38" s="493" t="str">
        <f aca="false">IF(ISERROR(VLOOKUP($A38,'liste reference'!$A$6:$B$1174,2,0)),IF(ISERROR(VLOOKUP($A38,'liste reference'!$B$6:$B$1174,1,0)),"",VLOOKUP($A38,'liste reference'!$B$6:$B$1174,1,0)),VLOOKUP($A38,'liste reference'!$A$6:$B$1174,2,0))</f>
        <v>Lemna minor</v>
      </c>
      <c r="E38" s="494" t="e">
        <f aca="false">IF(D38="",,VLOOKUP(D38,D$22:D37,1,0))</f>
        <v>#N/A</v>
      </c>
      <c r="F38" s="495" t="n">
        <f aca="false">IF(AND(OR(A38="",A38="!!!!!!"),B38="",C38=""),"",IF(OR(AND(B38="",C38=""),ISERROR(C38+B38)),"!!!",($B38*$B$7+$C38*$C$7)/100))</f>
        <v>0.005</v>
      </c>
      <c r="G38" s="496" t="str">
        <f aca="false">IF(A38="","",IF(ISERROR(VLOOKUP($A38,'liste reference'!$A$6:$Q$1174,9,0)),IF(ISERROR(VLOOKUP($A38,'liste reference'!$B$6:$Q$1174,8,0)),"    -",VLOOKUP($A38,'liste reference'!$B$6:$Q$1174,8,0)),VLOOKUP($A38,'liste reference'!$A$6:$Q$1174,9,0)))</f>
        <v>PHy</v>
      </c>
      <c r="H38" s="497" t="n">
        <f aca="false">IF(A38="","x",IF(ISERROR(VLOOKUP($A38,'liste reference'!$A$6:$Q$1174,10,0)),IF(ISERROR(VLOOKUP($A38,'liste reference'!$B$6:$Q$1174,9,0)),"x",VLOOKUP($A38,'liste reference'!$B$6:$Q$1174,9,0)),VLOOKUP($A38,'liste reference'!$A$6:$Q$1174,10,0)))</f>
        <v>7</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Lemna minor</v>
      </c>
      <c r="M38" s="499"/>
      <c r="N38" s="499"/>
      <c r="O38" s="499"/>
      <c r="P38" s="500" t="s">
        <v>3448</v>
      </c>
      <c r="Q38" s="501" t="n">
        <f aca="false">IF(OR($A38="NEWCOD",$A38="!!!!!!"),IF(X38="","NoCod",X38),IF($A38="","",IF(ISERROR(VLOOKUP($A38,'liste reference'!$A$6:$H$1174,8,0)),IF(ISERROR(VLOOKUP($A38,'liste reference'!$B$6:$H$1174,7,0)),"",VLOOKUP($A38,'liste reference'!$B$6:$H$1174,7,0)),VLOOKUP($A38,'liste reference'!$A$6:$H$1174,8,0))))</f>
        <v>1626</v>
      </c>
      <c r="R38" s="486" t="n">
        <f aca="false">IF(ISTEXT(H38),"",(B38*$B$7/100)+(C38*$C$7/100))</f>
        <v>0.005</v>
      </c>
      <c r="S38" s="487" t="n">
        <f aca="false">IF(OR(ISTEXT(H38),R38=0),"",IF(R38&lt;0.1,1,IF(R38&lt;1,2,IF(R38&lt;10,3,IF(R38&lt;50,4,IF(R38&gt;=50,5,""))))))</f>
        <v>1</v>
      </c>
      <c r="T38" s="487" t="n">
        <f aca="false">IF(ISERROR(S38*J38),0,S38*J38)</f>
        <v>10</v>
      </c>
      <c r="U38" s="487" t="n">
        <f aca="false">IF(ISERROR(S38*J38*K38),0,S38*J38*K38)</f>
        <v>10</v>
      </c>
      <c r="V38" s="502" t="n">
        <f aca="false">IF(ISERROR(S38*K38),0,S38*K38)</f>
        <v>1</v>
      </c>
      <c r="W38" s="503"/>
      <c r="X38" s="504"/>
      <c r="Y38" s="487" t="str">
        <f aca="false">IF(AND(ISNUMBER(F38),OR(A38="",A38="!!!!!!")),"!!!!!!",IF(A38="new.cod","NEWCOD",IF(AND((Z38=""),ISTEXT(A38),A38&lt;&gt;"!!!!!!"),A38,IF(Z38="","",INDEX('liste reference'!$A$6:$A$1174,Z38)))))</f>
        <v>LEMMIN</v>
      </c>
      <c r="Z38" s="472" t="n">
        <f aca="false">IF(ISERROR(MATCH(A38,'liste reference'!$A$6:$A$1174,0)),IF(ISERROR(MATCH(A38,'liste reference'!$B$6:$B$1174,0)),"",(MATCH(A38,'liste reference'!$B$6:$B$1174,0))),(MATCH(A38,'liste reference'!$A$6:$A$1174,0)))</f>
        <v>473</v>
      </c>
    </row>
    <row r="39" customFormat="false" ht="12.75" hidden="false" customHeight="false" outlineLevel="0" collapsed="false">
      <c r="A39" s="490" t="s">
        <v>1557</v>
      </c>
      <c r="B39" s="491" t="n">
        <v>0.005</v>
      </c>
      <c r="C39" s="492" t="n">
        <v>0.005</v>
      </c>
      <c r="D39" s="493" t="str">
        <f aca="false">IF(ISERROR(VLOOKUP($A39,'liste reference'!$A$6:$B$1174,2,0)),IF(ISERROR(VLOOKUP($A39,'liste reference'!$B$6:$B$1174,1,0)),"",VLOOKUP($A39,'liste reference'!$B$6:$B$1174,1,0)),VLOOKUP($A39,'liste reference'!$A$6:$B$1174,2,0))</f>
        <v>Myriophyllum spicatum</v>
      </c>
      <c r="E39" s="494" t="e">
        <f aca="false">IF(D39="",,VLOOKUP(D39,D$22:D38,1,0))</f>
        <v>#N/A</v>
      </c>
      <c r="F39" s="495" t="n">
        <f aca="false">IF(AND(OR(A39="",A39="!!!!!!"),B39="",C39=""),"",IF(OR(AND(B39="",C39=""),ISERROR(C39+B39)),"!!!",($B39*$B$7+$C39*$C$7)/100))</f>
        <v>0.005</v>
      </c>
      <c r="G39" s="496" t="str">
        <f aca="false">IF(A39="","",IF(ISERROR(VLOOKUP($A39,'liste reference'!$A$6:$Q$1174,9,0)),IF(ISERROR(VLOOKUP($A39,'liste reference'!$B$6:$Q$1174,8,0)),"    -",VLOOKUP($A39,'liste reference'!$B$6:$Q$1174,8,0)),VLOOKUP($A39,'liste reference'!$A$6:$Q$1174,9,0)))</f>
        <v>PHy</v>
      </c>
      <c r="H39" s="497" t="n">
        <f aca="false">IF(A39="","x",IF(ISERROR(VLOOKUP($A39,'liste reference'!$A$6:$Q$1174,10,0)),IF(ISERROR(VLOOKUP($A39,'liste reference'!$B$6:$Q$1174,9,0)),"x",VLOOKUP($A39,'liste reference'!$B$6:$Q$1174,9,0)),VLOOKUP($A39,'liste reference'!$A$6:$Q$1174,10,0)))</f>
        <v>7</v>
      </c>
      <c r="I39" s="285" t="n">
        <f aca="false">IF(A39="","",1)</f>
        <v>1</v>
      </c>
      <c r="J39" s="498" t="n">
        <f aca="false">IF(ISNUMBER($H39),IF(ISERROR(VLOOKUP($A39,'liste reference'!$A$6:$Q$1174,6,0)),IF(ISERROR(VLOOKUP($A39,'liste reference'!$B$6:$Q$1174,5,0)),"nu",VLOOKUP($A39,'liste reference'!$B$6:$Q$1174,5,0)),VLOOKUP($A39,'liste reference'!$A$6:$Q$1174,6,0)),"nu")</f>
        <v>8</v>
      </c>
      <c r="K39" s="498" t="n">
        <f aca="false">IF(ISNUMBER($H39),IF(ISERROR(VLOOKUP($A39,'liste reference'!$A$6:$Q$1174,7,0)),IF(ISERROR(VLOOKUP($A39,'liste reference'!$B$6:$Q$1174,6,0)),"nu",VLOOKUP($A39,'liste reference'!$B$6:$Q$1174,6,0)),VLOOKUP($A39,'liste reference'!$A$6:$Q$1174,7,0)),"nu")</f>
        <v>2</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Myriophyllum spicatum</v>
      </c>
      <c r="M39" s="499"/>
      <c r="N39" s="499"/>
      <c r="O39" s="499"/>
      <c r="P39" s="500" t="s">
        <v>3448</v>
      </c>
      <c r="Q39" s="501" t="n">
        <f aca="false">IF(OR($A39="NEWCOD",$A39="!!!!!!"),IF(X39="","NoCod",X39),IF($A39="","",IF(ISERROR(VLOOKUP($A39,'liste reference'!$A$6:$H$1174,8,0)),IF(ISERROR(VLOOKUP($A39,'liste reference'!$B$6:$H$1174,7,0)),"",VLOOKUP($A39,'liste reference'!$B$6:$H$1174,7,0)),VLOOKUP($A39,'liste reference'!$A$6:$H$1174,8,0))))</f>
        <v>1778</v>
      </c>
      <c r="R39" s="486" t="n">
        <f aca="false">IF(ISTEXT(H39),"",(B39*$B$7/100)+(C39*$C$7/100))</f>
        <v>0.005</v>
      </c>
      <c r="S39" s="487" t="n">
        <f aca="false">IF(OR(ISTEXT(H39),R39=0),"",IF(R39&lt;0.1,1,IF(R39&lt;1,2,IF(R39&lt;10,3,IF(R39&lt;50,4,IF(R39&gt;=50,5,""))))))</f>
        <v>1</v>
      </c>
      <c r="T39" s="487" t="n">
        <f aca="false">IF(ISERROR(S39*J39),0,S39*J39)</f>
        <v>8</v>
      </c>
      <c r="U39" s="487" t="n">
        <f aca="false">IF(ISERROR(S39*J39*K39),0,S39*J39*K39)</f>
        <v>16</v>
      </c>
      <c r="V39" s="502" t="n">
        <f aca="false">IF(ISERROR(S39*K39),0,S39*K39)</f>
        <v>2</v>
      </c>
      <c r="W39" s="503"/>
      <c r="X39" s="504"/>
      <c r="Y39" s="487" t="str">
        <f aca="false">IF(AND(ISNUMBER(F39),OR(A39="",A39="!!!!!!")),"!!!!!!",IF(A39="new.cod","NEWCOD",IF(AND((Z39=""),ISTEXT(A39),A39&lt;&gt;"!!!!!!"),A39,IF(Z39="","",INDEX('liste reference'!$A$6:$A$1174,Z39)))))</f>
        <v>MYRSPI</v>
      </c>
      <c r="Z39" s="472" t="n">
        <f aca="false">IF(ISERROR(MATCH(A39,'liste reference'!$A$6:$A$1174,0)),IF(ISERROR(MATCH(A39,'liste reference'!$B$6:$B$1174,0)),"",(MATCH(A39,'liste reference'!$B$6:$B$1174,0))),(MATCH(A39,'liste reference'!$A$6:$A$1174,0)))</f>
        <v>486</v>
      </c>
    </row>
    <row r="40" customFormat="false" ht="12.75" hidden="false" customHeight="false" outlineLevel="0" collapsed="false">
      <c r="A40" s="490" t="s">
        <v>1784</v>
      </c>
      <c r="B40" s="491" t="n">
        <v>75</v>
      </c>
      <c r="C40" s="492" t="n">
        <v>1</v>
      </c>
      <c r="D40" s="493" t="str">
        <f aca="false">IF(ISERROR(VLOOKUP($A40,'liste reference'!$A$6:$B$1174,2,0)),IF(ISERROR(VLOOKUP($A40,'liste reference'!$B$6:$B$1174,1,0)),"",VLOOKUP($A40,'liste reference'!$B$6:$B$1174,1,0)),VLOOKUP($A40,'liste reference'!$A$6:$B$1174,2,0))</f>
        <v>Ranunculus fluitans</v>
      </c>
      <c r="E40" s="494" t="e">
        <f aca="false">IF(D40="",,VLOOKUP(D40,D$22:D39,1,0))</f>
        <v>#N/A</v>
      </c>
      <c r="F40" s="495" t="n">
        <f aca="false">IF(AND(OR(A40="",A40="!!!!!!"),B40="",C40=""),"",IF(OR(AND(B40="",C40=""),ISERROR(C40+B40)),"!!!",($B40*$B$7+$C40*$C$7)/100))</f>
        <v>59.46</v>
      </c>
      <c r="G40" s="496" t="str">
        <f aca="false">IF(A40="","",IF(ISERROR(VLOOKUP($A40,'liste reference'!$A$6:$Q$1174,9,0)),IF(ISERROR(VLOOKUP($A40,'liste reference'!$B$6:$Q$1174,8,0)),"    -",VLOOKUP($A40,'liste reference'!$B$6:$Q$1174,8,0)),VLOOKUP($A40,'liste reference'!$A$6:$Q$1174,9,0)))</f>
        <v>PHy</v>
      </c>
      <c r="H40" s="497" t="n">
        <f aca="false">IF(A40="","x",IF(ISERROR(VLOOKUP($A40,'liste reference'!$A$6:$Q$1174,10,0)),IF(ISERROR(VLOOKUP($A40,'liste reference'!$B$6:$Q$1174,9,0)),"x",VLOOKUP($A40,'liste reference'!$B$6:$Q$1174,9,0)),VLOOKUP($A40,'liste reference'!$A$6:$Q$1174,10,0)))</f>
        <v>7</v>
      </c>
      <c r="I40" s="285" t="n">
        <f aca="false">IF(A40="","",1)</f>
        <v>1</v>
      </c>
      <c r="J40" s="498" t="n">
        <f aca="false">IF(ISNUMBER($H40),IF(ISERROR(VLOOKUP($A40,'liste reference'!$A$6:$Q$1174,6,0)),IF(ISERROR(VLOOKUP($A40,'liste reference'!$B$6:$Q$1174,5,0)),"nu",VLOOKUP($A40,'liste reference'!$B$6:$Q$1174,5,0)),VLOOKUP($A40,'liste reference'!$A$6:$Q$1174,6,0)),"nu")</f>
        <v>10</v>
      </c>
      <c r="K40" s="498" t="n">
        <f aca="false">IF(ISNUMBER($H40),IF(ISERROR(VLOOKUP($A40,'liste reference'!$A$6:$Q$1174,7,0)),IF(ISERROR(VLOOKUP($A40,'liste reference'!$B$6:$Q$1174,6,0)),"nu",VLOOKUP($A40,'liste reference'!$B$6:$Q$1174,6,0)),VLOOKUP($A40,'liste reference'!$A$6:$Q$1174,7,0)),"nu")</f>
        <v>2</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Ranunculus fluitans</v>
      </c>
      <c r="M40" s="499"/>
      <c r="N40" s="499"/>
      <c r="O40" s="499"/>
      <c r="P40" s="500" t="s">
        <v>3449</v>
      </c>
      <c r="Q40" s="501" t="n">
        <f aca="false">IF(OR($A40="NEWCOD",$A40="!!!!!!"),IF(X40="","NoCod",X40),IF($A40="","",IF(ISERROR(VLOOKUP($A40,'liste reference'!$A$6:$H$1174,8,0)),IF(ISERROR(VLOOKUP($A40,'liste reference'!$B$6:$H$1174,7,0)),"",VLOOKUP($A40,'liste reference'!$B$6:$H$1174,7,0)),VLOOKUP($A40,'liste reference'!$A$6:$H$1174,8,0))))</f>
        <v>1903</v>
      </c>
      <c r="R40" s="486" t="n">
        <f aca="false">IF(ISTEXT(H40),"",(B40*$B$7/100)+(C40*$C$7/100))</f>
        <v>59.46</v>
      </c>
      <c r="S40" s="487" t="n">
        <f aca="false">IF(OR(ISTEXT(H40),R40=0),"",IF(R40&lt;0.1,1,IF(R40&lt;1,2,IF(R40&lt;10,3,IF(R40&lt;50,4,IF(R40&gt;=50,5,""))))))</f>
        <v>5</v>
      </c>
      <c r="T40" s="487" t="n">
        <f aca="false">IF(ISERROR(S40*J40),0,S40*J40)</f>
        <v>50</v>
      </c>
      <c r="U40" s="487" t="n">
        <f aca="false">IF(ISERROR(S40*J40*K40),0,S40*J40*K40)</f>
        <v>100</v>
      </c>
      <c r="V40" s="502" t="n">
        <f aca="false">IF(ISERROR(S40*K40),0,S40*K40)</f>
        <v>10</v>
      </c>
      <c r="W40" s="503"/>
      <c r="X40" s="504"/>
      <c r="Y40" s="487" t="str">
        <f aca="false">IF(AND(ISNUMBER(F40),OR(A40="",A40="!!!!!!")),"!!!!!!",IF(A40="new.cod","NEWCOD",IF(AND((Z40=""),ISTEXT(A40),A40&lt;&gt;"!!!!!!"),A40,IF(Z40="","",INDEX('liste reference'!$A$6:$A$1174,Z40)))))</f>
        <v>RANFLU</v>
      </c>
      <c r="Z40" s="472" t="n">
        <f aca="false">IF(ISERROR(MATCH(A40,'liste reference'!$A$6:$A$1174,0)),IF(ISERROR(MATCH(A40,'liste reference'!$B$6:$B$1174,0)),"",(MATCH(A40,'liste reference'!$B$6:$B$1174,0))),(MATCH(A40,'liste reference'!$A$6:$A$1174,0)))</f>
        <v>566</v>
      </c>
    </row>
    <row r="41" customFormat="false" ht="12.75" hidden="false" customHeight="false" outlineLevel="0" collapsed="false">
      <c r="A41" s="490" t="s">
        <v>2170</v>
      </c>
      <c r="B41" s="491" t="n">
        <v>0.1</v>
      </c>
      <c r="C41" s="492" t="n">
        <v>0.1</v>
      </c>
      <c r="D41" s="493" t="str">
        <f aca="false">IF(ISERROR(VLOOKUP($A41,'liste reference'!$A$6:$B$1174,2,0)),IF(ISERROR(VLOOKUP($A41,'liste reference'!$B$6:$B$1174,1,0)),"",VLOOKUP($A41,'liste reference'!$B$6:$B$1174,1,0)),VLOOKUP($A41,'liste reference'!$A$6:$B$1174,2,0))</f>
        <v>Phalaris arundinacea</v>
      </c>
      <c r="E41" s="494" t="e">
        <f aca="false">IF(D41="",,VLOOKUP(D41,D$22:D40,1,0))</f>
        <v>#N/A</v>
      </c>
      <c r="F41" s="495" t="n">
        <f aca="false">IF(AND(OR(A41="",A41="!!!!!!"),B41="",C41=""),"",IF(OR(AND(B41="",C41=""),ISERROR(C41+B41)),"!!!",($B41*$B$7+$C41*$C$7)/100))</f>
        <v>0.1</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10</v>
      </c>
      <c r="K41" s="498" t="n">
        <f aca="false">IF(ISNUMBER($H41),IF(ISERROR(VLOOKUP($A41,'liste reference'!$A$6:$Q$1174,7,0)),IF(ISERROR(VLOOKUP($A41,'liste reference'!$B$6:$Q$1174,6,0)),"nu",VLOOKUP($A41,'liste reference'!$B$6:$Q$1174,6,0)),VLOOKUP($A41,'liste reference'!$A$6:$Q$1174,7,0)),"nu")</f>
        <v>1</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Phalaris arundinacea</v>
      </c>
      <c r="M41" s="499"/>
      <c r="N41" s="499"/>
      <c r="O41" s="499"/>
      <c r="P41" s="500" t="s">
        <v>3448</v>
      </c>
      <c r="Q41" s="501" t="n">
        <f aca="false">IF(OR($A41="NEWCOD",$A41="!!!!!!"),IF(X41="","NoCod",X41),IF($A41="","",IF(ISERROR(VLOOKUP($A41,'liste reference'!$A$6:$H$1174,8,0)),IF(ISERROR(VLOOKUP($A41,'liste reference'!$B$6:$H$1174,7,0)),"",VLOOKUP($A41,'liste reference'!$B$6:$H$1174,7,0)),VLOOKUP($A41,'liste reference'!$A$6:$H$1174,8,0))))</f>
        <v>1577</v>
      </c>
      <c r="R41" s="486" t="n">
        <f aca="false">IF(ISTEXT(H41),"",(B41*$B$7/100)+(C41*$C$7/100))</f>
        <v>0.1</v>
      </c>
      <c r="S41" s="487" t="n">
        <f aca="false">IF(OR(ISTEXT(H41),R41=0),"",IF(R41&lt;0.1,1,IF(R41&lt;1,2,IF(R41&lt;10,3,IF(R41&lt;50,4,IF(R41&gt;=50,5,""))))))</f>
        <v>2</v>
      </c>
      <c r="T41" s="487" t="n">
        <f aca="false">IF(ISERROR(S41*J41),0,S41*J41)</f>
        <v>20</v>
      </c>
      <c r="U41" s="487" t="n">
        <f aca="false">IF(ISERROR(S41*J41*K41),0,S41*J41*K41)</f>
        <v>20</v>
      </c>
      <c r="V41" s="502" t="n">
        <f aca="false">IF(ISERROR(S41*K41),0,S41*K41)</f>
        <v>2</v>
      </c>
      <c r="W41" s="503"/>
      <c r="X41" s="504"/>
      <c r="Y41" s="487" t="str">
        <f aca="false">IF(AND(ISNUMBER(F41),OR(A41="",A41="!!!!!!")),"!!!!!!",IF(A41="new.cod","NEWCOD",IF(AND((Z41=""),ISTEXT(A41),A41&lt;&gt;"!!!!!!"),A41,IF(Z41="","",INDEX('liste reference'!$A$6:$A$1174,Z41)))))</f>
        <v>PHAARU</v>
      </c>
      <c r="Z41" s="472" t="n">
        <f aca="false">IF(ISERROR(MATCH(A41,'liste reference'!$A$6:$A$1174,0)),IF(ISERROR(MATCH(A41,'liste reference'!$B$6:$B$1174,0)),"",(MATCH(A41,'liste reference'!$B$6:$B$1174,0))),(MATCH(A41,'liste reference'!$A$6:$A$1174,0)))</f>
        <v>707</v>
      </c>
    </row>
    <row r="42" customFormat="false" ht="12.75" hidden="false" customHeight="false" outlineLevel="0" collapsed="false">
      <c r="A42" s="490" t="s">
        <v>2193</v>
      </c>
      <c r="B42" s="491" t="n">
        <v>0.005</v>
      </c>
      <c r="C42" s="492"/>
      <c r="D42" s="493" t="str">
        <f aca="false">IF(ISERROR(VLOOKUP($A42,'liste reference'!$A$6:$B$1174,2,0)),IF(ISERROR(VLOOKUP($A42,'liste reference'!$B$6:$B$1174,1,0)),"",VLOOKUP($A42,'liste reference'!$B$6:$B$1174,1,0)),VLOOKUP($A42,'liste reference'!$A$6:$B$1174,2,0))</f>
        <v>Rorippa amphibia</v>
      </c>
      <c r="E42" s="494" t="e">
        <f aca="false">IF(D42="",,VLOOKUP(D42,D$22:D41,1,0))</f>
        <v>#N/A</v>
      </c>
      <c r="F42" s="495" t="n">
        <f aca="false">IF(AND(OR(A42="",A42="!!!!!!"),B42="",C42=""),"",IF(OR(AND(B42="",C42=""),ISERROR(C42+B42)),"!!!",($B42*$B$7+$C42*$C$7)/100))</f>
        <v>0.00395</v>
      </c>
      <c r="G42" s="496" t="str">
        <f aca="false">IF(A42="","",IF(ISERROR(VLOOKUP($A42,'liste reference'!$A$6:$Q$1174,9,0)),IF(ISERROR(VLOOKUP($A42,'liste reference'!$B$6:$Q$1174,8,0)),"    -",VLOOKUP($A42,'liste reference'!$B$6:$Q$1174,8,0)),VLOOKUP($A42,'liste reference'!$A$6:$Q$1174,9,0)))</f>
        <v>PHe</v>
      </c>
      <c r="H42" s="497" t="n">
        <f aca="false">IF(A42="","x",IF(ISERROR(VLOOKUP($A42,'liste reference'!$A$6:$Q$1174,10,0)),IF(ISERROR(VLOOKUP($A42,'liste reference'!$B$6:$Q$1174,9,0)),"x",VLOOKUP($A42,'liste reference'!$B$6:$Q$1174,9,0)),VLOOKUP($A42,'liste reference'!$A$6:$Q$1174,10,0)))</f>
        <v>8</v>
      </c>
      <c r="I42" s="285" t="n">
        <f aca="false">IF(A42="","",1)</f>
        <v>1</v>
      </c>
      <c r="J42" s="498" t="n">
        <f aca="false">IF(ISNUMBER($H42),IF(ISERROR(VLOOKUP($A42,'liste reference'!$A$6:$Q$1174,6,0)),IF(ISERROR(VLOOKUP($A42,'liste reference'!$B$6:$Q$1174,5,0)),"nu",VLOOKUP($A42,'liste reference'!$B$6:$Q$1174,5,0)),VLOOKUP($A42,'liste reference'!$A$6:$Q$1174,6,0)),"nu")</f>
        <v>9</v>
      </c>
      <c r="K42" s="498" t="n">
        <f aca="false">IF(ISNUMBER($H42),IF(ISERROR(VLOOKUP($A42,'liste reference'!$A$6:$Q$1174,7,0)),IF(ISERROR(VLOOKUP($A42,'liste reference'!$B$6:$Q$1174,6,0)),"nu",VLOOKUP($A42,'liste reference'!$B$6:$Q$1174,6,0)),VLOOKUP($A42,'liste reference'!$A$6:$Q$1174,7,0)),"nu")</f>
        <v>1</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Rorippa amphibia</v>
      </c>
      <c r="M42" s="499"/>
      <c r="N42" s="499"/>
      <c r="O42" s="499"/>
      <c r="P42" s="500" t="s">
        <v>3449</v>
      </c>
      <c r="Q42" s="501" t="n">
        <f aca="false">IF(OR($A42="NEWCOD",$A42="!!!!!!"),IF(X42="","NoCod",X42),IF($A42="","",IF(ISERROR(VLOOKUP($A42,'liste reference'!$A$6:$H$1174,8,0)),IF(ISERROR(VLOOKUP($A42,'liste reference'!$B$6:$H$1174,7,0)),"",VLOOKUP($A42,'liste reference'!$B$6:$H$1174,7,0)),VLOOKUP($A42,'liste reference'!$A$6:$H$1174,8,0))))</f>
        <v>1765</v>
      </c>
      <c r="R42" s="486" t="n">
        <f aca="false">IF(ISTEXT(H42),"",(B42*$B$7/100)+(C42*$C$7/100))</f>
        <v>0.00395</v>
      </c>
      <c r="S42" s="487" t="n">
        <f aca="false">IF(OR(ISTEXT(H42),R42=0),"",IF(R42&lt;0.1,1,IF(R42&lt;1,2,IF(R42&lt;10,3,IF(R42&lt;50,4,IF(R42&gt;=50,5,""))))))</f>
        <v>1</v>
      </c>
      <c r="T42" s="487" t="n">
        <f aca="false">IF(ISERROR(S42*J42),0,S42*J42)</f>
        <v>9</v>
      </c>
      <c r="U42" s="487" t="n">
        <f aca="false">IF(ISERROR(S42*J42*K42),0,S42*J42*K42)</f>
        <v>9</v>
      </c>
      <c r="V42" s="502" t="n">
        <f aca="false">IF(ISERROR(S42*K42),0,S42*K42)</f>
        <v>1</v>
      </c>
      <c r="W42" s="503"/>
      <c r="X42" s="504"/>
      <c r="Y42" s="487" t="str">
        <f aca="false">IF(AND(ISNUMBER(F42),OR(A42="",A42="!!!!!!")),"!!!!!!",IF(A42="new.cod","NEWCOD",IF(AND((Z42=""),ISTEXT(A42),A42&lt;&gt;"!!!!!!"),A42,IF(Z42="","",INDEX('liste reference'!$A$6:$A$1174,Z42)))))</f>
        <v>RORAMP</v>
      </c>
      <c r="Z42" s="472" t="n">
        <f aca="false">IF(ISERROR(MATCH(A42,'liste reference'!$A$6:$A$1174,0)),IF(ISERROR(MATCH(A42,'liste reference'!$B$6:$B$1174,0)),"",(MATCH(A42,'liste reference'!$B$6:$B$1174,0))),(MATCH(A42,'liste reference'!$A$6:$A$1174,0)))</f>
        <v>716</v>
      </c>
    </row>
    <row r="43" customFormat="false" ht="12.75" hidden="false" customHeight="false" outlineLevel="0" collapsed="false">
      <c r="A43" s="490" t="s">
        <v>2688</v>
      </c>
      <c r="B43" s="491"/>
      <c r="C43" s="492" t="n">
        <v>0.005</v>
      </c>
      <c r="D43" s="493" t="str">
        <f aca="false">IF(ISERROR(VLOOKUP($A43,'liste reference'!$A$6:$B$1174,2,0)),IF(ISERROR(VLOOKUP($A43,'liste reference'!$B$6:$B$1174,1,0)),"",VLOOKUP($A43,'liste reference'!$B$6:$B$1174,1,0)),VLOOKUP($A43,'liste reference'!$A$6:$B$1174,2,0))</f>
        <v>Lysimachia vulgaris</v>
      </c>
      <c r="E43" s="494" t="e">
        <f aca="false">IF(D43="",,VLOOKUP(D43,D$22:D42,1,0))</f>
        <v>#N/A</v>
      </c>
      <c r="F43" s="495" t="n">
        <f aca="false">IF(AND(OR(A43="",A43="!!!!!!"),B43="",C43=""),"",IF(OR(AND(B43="",C43=""),ISERROR(C43+B43)),"!!!",($B43*$B$7+$C43*$C$7)/100))</f>
        <v>0.00105</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Lysimachia vulgaris</v>
      </c>
      <c r="M43" s="499"/>
      <c r="N43" s="499"/>
      <c r="O43" s="499"/>
      <c r="P43" s="500" t="s">
        <v>3448</v>
      </c>
      <c r="Q43" s="501" t="n">
        <f aca="false">IF(OR($A43="NEWCOD",$A43="!!!!!!"),IF(X43="","NoCod",X43),IF($A43="","",IF(ISERROR(VLOOKUP($A43,'liste reference'!$A$6:$H$1174,8,0)),IF(ISERROR(VLOOKUP($A43,'liste reference'!$B$6:$H$1174,7,0)),"",VLOOKUP($A43,'liste reference'!$B$6:$H$1174,7,0)),VLOOKUP($A43,'liste reference'!$A$6:$H$1174,8,0))))</f>
        <v>1887</v>
      </c>
      <c r="R43" s="486" t="n">
        <f aca="false">IF(ISTEXT(H43),"",(B43*$B$7/100)+(C43*$C$7/100))</f>
        <v>0.00105</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LYSVUL</v>
      </c>
      <c r="Z43" s="472" t="n">
        <f aca="false">IF(ISERROR(MATCH(A43,'liste reference'!$A$6:$A$1174,0)),IF(ISERROR(MATCH(A43,'liste reference'!$B$6:$B$1174,0)),"",(MATCH(A43,'liste reference'!$B$6:$B$1174,0))),(MATCH(A43,'liste reference'!$A$6:$A$1174,0)))</f>
        <v>899</v>
      </c>
    </row>
    <row r="44" customFormat="false" ht="12.75" hidden="false" customHeight="false" outlineLevel="0" collapsed="false">
      <c r="A44" s="490" t="s">
        <v>3450</v>
      </c>
      <c r="B44" s="491" t="n">
        <v>0.15</v>
      </c>
      <c r="C44" s="492" t="n">
        <v>0.25</v>
      </c>
      <c r="D44" s="493" t="str">
        <f aca="false">IF(ISERROR(VLOOKUP($A44,'liste reference'!$A$6:$B$1174,2,0)),IF(ISERROR(VLOOKUP($A44,'liste reference'!$B$6:$B$1174,1,0)),"",VLOOKUP($A44,'liste reference'!$B$6:$B$1174,1,0)),VLOOKUP($A44,'liste reference'!$A$6:$B$1174,2,0))</f>
        <v/>
      </c>
      <c r="E44" s="494" t="n">
        <f aca="false">IF(D44="",,VLOOKUP(D44,D$22:D43,1,0))</f>
        <v>0</v>
      </c>
      <c r="F44" s="495" t="n">
        <f aca="false">IF(AND(OR(A44="",A44="!!!!!!"),B44="",C44=""),"",IF(OR(AND(B44="",C44=""),ISERROR(C44+B44)),"!!!",($B44*$B$7+$C44*$C$7)/100))</f>
        <v>0.171</v>
      </c>
      <c r="G44" s="496" t="str">
        <f aca="false">IF(A44="","",IF(ISERROR(VLOOKUP($A44,'liste reference'!$A$6:$Q$1174,9,0)),IF(ISERROR(VLOOKUP($A44,'liste reference'!$B$6:$Q$1174,8,0)),"    -",VLOOKUP($A44,'liste reference'!$B$6:$Q$1174,8,0)),VLOOKUP($A44,'liste reference'!$A$6:$Q$1174,9,0)))</f>
        <v>    -</v>
      </c>
      <c r="H44" s="497" t="str">
        <f aca="false">IF(A44="","x",IF(ISERROR(VLOOKUP($A44,'liste reference'!$A$6:$Q$1174,10,0)),IF(ISERROR(VLOOKUP($A44,'liste reference'!$B$6:$Q$1174,9,0)),"x",VLOOKUP($A44,'liste reference'!$B$6:$Q$1174,9,0)),VLOOKUP($A44,'liste reference'!$A$6:$Q$1174,10,0)))</f>
        <v>x</v>
      </c>
      <c r="I44" s="285" t="n">
        <f aca="false">IF(A44="","",1)</f>
        <v>1</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Cyperaceae</v>
      </c>
      <c r="M44" s="499"/>
      <c r="N44" s="499"/>
      <c r="O44" s="499"/>
      <c r="P44" s="500" t="s">
        <v>3448</v>
      </c>
      <c r="Q44" s="501" t="n">
        <f aca="false">IF(OR($A44="NEWCOD",$A44="!!!!!!"),IF(X44="","NoCod",X44),IF($A44="","",IF(ISERROR(VLOOKUP($A44,'liste reference'!$A$6:$H$1174,8,0)),IF(ISERROR(VLOOKUP($A44,'liste reference'!$B$6:$H$1174,7,0)),"",VLOOKUP($A44,'liste reference'!$B$6:$H$1174,7,0)),VLOOKUP($A44,'liste reference'!$A$6:$H$1174,8,0))))</f>
        <v>1465</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t="s">
        <v>3451</v>
      </c>
      <c r="X44" s="504" t="n">
        <v>1465</v>
      </c>
      <c r="Y44" s="487" t="str">
        <f aca="false">IF(AND(ISNUMBER(F44),OR(A44="",A44="!!!!!!")),"!!!!!!",IF(A44="new.cod","NEWCOD",IF(AND((Z44=""),ISTEXT(A44),A44&lt;&gt;"!!!!!!"),A44,IF(Z44="","",INDEX('liste reference'!$A$6:$A$1174,Z44)))))</f>
        <v>NEWCOD</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reference'!$A$6:$H$1174,8,0)),IF(ISERROR(VLOOKUP($A45,'liste reference'!$B$6:$H$1174,7,0)),"",VLOOKUP($A45,'liste reference'!$B$6:$H$1174,7,0)),VLOOKUP($A45,'liste reference'!$A$6:$H$1174,8,0))))</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reference'!$A$6:$H$1174,8,0)),IF(ISERROR(VLOOKUP($A46,'liste reference'!$B$6:$H$1174,7,0)),"",VLOOKUP($A46,'liste reference'!$B$6:$H$1174,7,0)),VLOOKUP($A46,'liste reference'!$A$6:$H$1174,8,0))))</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reference'!$A$6:$H$1174,8,0)),IF(ISERROR(VLOOKUP($A47,'liste reference'!$B$6:$H$1174,7,0)),"",VLOOKUP($A47,'liste reference'!$B$6:$H$1174,7,0)),VLOOKUP($A47,'liste reference'!$A$6:$H$1174,8,0))))</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reference'!$A$6:$H$1174,8,0)),IF(ISERROR(VLOOKUP($A48,'liste reference'!$B$6:$H$1174,7,0)),"",VLOOKUP($A48,'liste reference'!$B$6:$H$1174,7,0)),VLOOKUP($A48,'liste reference'!$A$6:$H$1174,8,0))))</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reference'!$A$6:$H$1174,8,0)),IF(ISERROR(VLOOKUP($A49,'liste reference'!$B$6:$H$1174,7,0)),"",VLOOKUP($A49,'liste reference'!$B$6:$H$1174,7,0)),VLOOKUP($A49,'liste reference'!$A$6:$H$1174,8,0))))</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reference'!$A$6:$H$1174,8,0)),IF(ISERROR(VLOOKUP($A50,'liste reference'!$B$6:$H$1174,7,0)),"",VLOOKUP($A50,'liste reference'!$B$6:$H$1174,7,0)),VLOOKUP($A50,'liste reference'!$A$6:$H$1174,8,0))))</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reference'!$A$6:$H$1174,8,0)),IF(ISERROR(VLOOKUP($A51,'liste reference'!$B$6:$H$1174,7,0)),"",VLOOKUP($A51,'liste reference'!$B$6:$H$1174,7,0)),VLOOKUP($A51,'liste reference'!$A$6:$H$1174,8,0))))</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reference'!$A$6:$H$1174,8,0)),IF(ISERROR(VLOOKUP($A52,'liste reference'!$B$6:$H$1174,7,0)),"",VLOOKUP($A52,'liste reference'!$B$6:$H$1174,7,0)),VLOOKUP($A52,'liste reference'!$A$6:$H$1174,8,0))))</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reference'!$A$6:$H$1174,8,0)),IF(ISERROR(VLOOKUP($A53,'liste reference'!$B$6:$H$1174,7,0)),"",VLOOKUP($A53,'liste reference'!$B$6:$H$1174,7,0)),VLOOKUP($A53,'liste reference'!$A$6:$H$1174,8,0))))</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reference'!$A$6:$H$1174,8,0)),IF(ISERROR(VLOOKUP($A54,'liste reference'!$B$6:$H$1174,7,0)),"",VLOOKUP($A54,'liste reference'!$B$6:$H$1174,7,0)),VLOOKUP($A54,'liste reference'!$A$6:$H$1174,8,0))))</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reference'!$A$6:$H$1174,8,0)),IF(ISERROR(VLOOKUP($A55,'liste reference'!$B$6:$H$1174,7,0)),"",VLOOKUP($A55,'liste reference'!$B$6:$H$1174,7,0)),VLOOKUP($A55,'liste reference'!$A$6:$H$1174,8,0))))</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reference'!$A$6:$H$1174,8,0)),IF(ISERROR(VLOOKUP($A56,'liste reference'!$B$6:$H$1174,7,0)),"",VLOOKUP($A56,'liste reference'!$B$6:$H$1174,7,0)),VLOOKUP($A56,'liste reference'!$A$6:$H$1174,8,0))))</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reference'!$A$6:$H$1174,8,0)),IF(ISERROR(VLOOKUP($A57,'liste reference'!$B$6:$H$1174,7,0)),"",VLOOKUP($A57,'liste reference'!$B$6:$H$1174,7,0)),VLOOKUP($A57,'liste reference'!$A$6:$H$1174,8,0))))</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reference'!$A$6:$H$1174,8,0)),IF(ISERROR(VLOOKUP($A58,'liste reference'!$B$6:$H$1174,7,0)),"",VLOOKUP($A58,'liste reference'!$B$6:$H$1174,7,0)),VLOOKUP($A58,'liste reference'!$A$6:$H$1174,8,0))))</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reference'!$A$6:$H$1174,8,0)),IF(ISERROR(VLOOKUP($A59,'liste reference'!$B$6:$H$1174,7,0)),"",VLOOKUP($A59,'liste reference'!$B$6:$H$1174,7,0)),VLOOKUP($A59,'liste reference'!$A$6:$H$1174,8,0))))</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reference'!$A$6:$H$1174,8,0)),IF(ISERROR(VLOOKUP($A60,'liste reference'!$B$6:$H$1174,7,0)),"",VLOOKUP($A60,'liste reference'!$B$6:$H$1174,7,0)),VLOOKUP($A60,'liste reference'!$A$6:$H$1174,8,0))))</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reference'!$A$6:$H$1174,8,0)),IF(ISERROR(VLOOKUP($A61,'liste reference'!$B$6:$H$1174,7,0)),"",VLOOKUP($A61,'liste reference'!$B$6:$H$1174,7,0)),VLOOKUP($A61,'liste reference'!$A$6:$H$1174,8,0))))</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reference'!$A$6:$H$1174,8,0)),IF(ISERROR(VLOOKUP($A62,'liste reference'!$B$6:$H$1174,7,0)),"",VLOOKUP($A62,'liste reference'!$B$6:$H$1174,7,0)),VLOOKUP($A62,'liste reference'!$A$6:$H$1174,8,0))))</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reference'!$A$6:$H$1174,8,0)),IF(ISERROR(VLOOKUP($A63,'liste reference'!$B$6:$H$1174,7,0)),"",VLOOKUP($A63,'liste reference'!$B$6:$H$1174,7,0)),VLOOKUP($A63,'liste reference'!$A$6:$H$1174,8,0))))</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reference'!$A$6:$H$1174,8,0)),IF(ISERROR(VLOOKUP($A64,'liste reference'!$B$6:$H$1174,7,0)),"",VLOOKUP($A64,'liste reference'!$B$6:$H$1174,7,0)),VLOOKUP($A64,'liste reference'!$A$6:$H$1174,8,0))))</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reference'!$A$6:$H$1174,8,0)),IF(ISERROR(VLOOKUP($A65,'liste reference'!$B$6:$H$1174,7,0)),"",VLOOKUP($A65,'liste reference'!$B$6:$H$1174,7,0)),VLOOKUP($A65,'liste reference'!$A$6:$H$1174,8,0))))</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reference'!$A$6:$H$1174,8,0)),IF(ISERROR(VLOOKUP($A66,'liste reference'!$B$6:$H$1174,7,0)),"",VLOOKUP($A66,'liste reference'!$B$6:$H$1174,7,0)),VLOOKUP($A66,'liste reference'!$A$6:$H$1174,8,0))))</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reference'!$A$6:$H$1174,8,0)),IF(ISERROR(VLOOKUP($A67,'liste reference'!$B$6:$H$1174,7,0)),"",VLOOKUP($A67,'liste reference'!$B$6:$H$1174,7,0)),VLOOKUP($A67,'liste reference'!$A$6:$H$1174,8,0))))</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reference'!$A$6:$H$1174,8,0)),IF(ISERROR(VLOOKUP($A68,'liste reference'!$B$6:$H$1174,7,0)),"",VLOOKUP($A68,'liste reference'!$B$6:$H$1174,7,0)),VLOOKUP($A68,'liste reference'!$A$6:$H$1174,8,0))))</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reference'!$A$6:$H$1174,8,0)),IF(ISERROR(VLOOKUP($A69,'liste reference'!$B$6:$H$1174,7,0)),"",VLOOKUP($A69,'liste reference'!$B$6:$H$1174,7,0)),VLOOKUP($A69,'liste reference'!$A$6:$H$1174,8,0))))</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reference'!$A$6:$H$1174,8,0)),IF(ISERROR(VLOOKUP($A70,'liste reference'!$B$6:$H$1174,7,0)),"",VLOOKUP($A70,'liste reference'!$B$6:$H$1174,7,0)),VLOOKUP($A70,'liste reference'!$A$6:$H$1174,8,0))))</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reference'!$A$6:$H$1174,8,0)),IF(ISERROR(VLOOKUP($A71,'liste reference'!$B$6:$H$1174,7,0)),"",VLOOKUP($A71,'liste reference'!$B$6:$H$1174,7,0)),VLOOKUP($A71,'liste reference'!$A$6:$H$1174,8,0))))</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reference'!$A$6:$H$1174,8,0)),IF(ISERROR(VLOOKUP($A72,'liste reference'!$B$6:$H$1174,7,0)),"",VLOOKUP($A72,'liste reference'!$B$6:$H$1174,7,0)),VLOOKUP($A72,'liste reference'!$A$6:$H$1174,8,0))))</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reference'!$A$6:$H$1174,8,0)),IF(ISERROR(VLOOKUP($A73,'liste reference'!$B$6:$H$1174,7,0)),"",VLOOKUP($A73,'liste reference'!$B$6:$H$1174,7,0)),VLOOKUP($A73,'liste reference'!$A$6:$H$1174,8,0))))</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reference'!$A$6:$H$1174,8,0)),IF(ISERROR(VLOOKUP($A74,'liste reference'!$B$6:$H$1174,7,0)),"",VLOOKUP($A74,'liste reference'!$B$6:$H$1174,7,0)),VLOOKUP($A74,'liste reference'!$A$6:$H$1174,8,0))))</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reference'!$A$6:$H$1174,8,0)),IF(ISERROR(VLOOKUP($A75,'liste reference'!$B$6:$H$1174,7,0)),"",VLOOKUP($A75,'liste reference'!$B$6:$H$1174,7,0)),VLOOKUP($A75,'liste reference'!$A$6:$H$1174,8,0))))</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reference'!$A$6:$H$1174,8,0)),IF(ISERROR(VLOOKUP($A76,'liste reference'!$B$6:$H$1174,7,0)),"",VLOOKUP($A76,'liste reference'!$B$6:$H$1174,7,0)),VLOOKUP($A76,'liste reference'!$A$6:$H$1174,8,0))))</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reference'!$A$6:$H$1174,8,0)),IF(ISERROR(VLOOKUP($A77,'liste reference'!$B$6:$H$1174,7,0)),"",VLOOKUP($A77,'liste reference'!$B$6:$H$1174,7,0)),VLOOKUP($A77,'liste reference'!$A$6:$H$1174,8,0))))</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reference'!$A$6:$H$1174,8,0)),IF(ISERROR(VLOOKUP($A78,'liste reference'!$B$6:$H$1174,7,0)),"",VLOOKUP($A78,'liste reference'!$B$6:$H$1174,7,0)),VLOOKUP($A78,'liste reference'!$A$6:$H$1174,8,0))))</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reference'!$A$6:$H$1174,8,0)),IF(ISERROR(VLOOKUP($A79,'liste reference'!$B$6:$H$1174,7,0)),"",VLOOKUP($A79,'liste reference'!$B$6:$H$1174,7,0)),VLOOKUP($A79,'liste reference'!$A$6:$H$1174,8,0))))</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reference'!$A$6:$H$1174,8,0)),IF(ISERROR(VLOOKUP($A80,'liste reference'!$B$6:$H$1174,7,0)),"",VLOOKUP($A80,'liste reference'!$B$6:$H$1174,7,0)),VLOOKUP($A80,'liste reference'!$A$6:$H$1174,8,0))))</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reference'!$A$6:$H$1174,8,0)),IF(ISERROR(VLOOKUP($A81,'liste reference'!$B$6:$H$1174,7,0)),"",VLOOKUP($A81,'liste reference'!$B$6:$H$1174,7,0)),VLOOKUP($A81,'liste reference'!$A$6:$H$1174,8,0))))</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reference'!$A$6:$H$1174,8,0)),IF(ISERROR(VLOOKUP($A82,'liste reference'!$B$6:$H$1174,7,0)),"",VLOOKUP($A82,'liste reference'!$B$6:$H$1174,7,0)),VLOOKUP($A82,'liste reference'!$A$6:$H$1174,8,0))))</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69.13355</v>
      </c>
      <c r="G83" s="425"/>
      <c r="H83" s="425"/>
      <c r="I83" s="425"/>
      <c r="J83" s="425"/>
      <c r="K83" s="425"/>
      <c r="L83" s="425"/>
      <c r="M83" s="487"/>
      <c r="N83" s="487"/>
      <c r="O83" s="487"/>
      <c r="P83" s="487"/>
      <c r="Q83" s="487"/>
      <c r="R83" s="487"/>
      <c r="S83" s="487"/>
      <c r="T83" s="487"/>
      <c r="U83" s="487"/>
      <c r="V83" s="487" t="n">
        <f aca="false">SUM(V23:V82)</f>
        <v>53</v>
      </c>
      <c r="W83" s="487"/>
      <c r="X83" s="524"/>
      <c r="Y83" s="524"/>
      <c r="Z83" s="525"/>
    </row>
    <row r="84" customFormat="false" ht="12.75" hidden="true" customHeight="false" outlineLevel="0" collapsed="false">
      <c r="A84" s="519" t="str">
        <f aca="false">A3</f>
        <v>L'AVEYRON</v>
      </c>
      <c r="B84" s="454" t="str">
        <f aca="false">C3</f>
        <v>L'AVEYRON A FENEYROLS</v>
      </c>
      <c r="C84" s="526" t="str">
        <f aca="false">A4</f>
        <v>(Date)</v>
      </c>
      <c r="D84" s="527" t="n">
        <f aca="false">IF(OR(ISERROR(SUM($U$23:$U$82)/SUM($V$23:$V$82)),F7&lt;&gt;100),-1,SUM($U$23:$U$82)/SUM($V$23:$V$82))</f>
        <v>11.3962264150943</v>
      </c>
      <c r="E84" s="528" t="n">
        <f aca="false">O13</f>
        <v>22</v>
      </c>
      <c r="F84" s="454" t="n">
        <f aca="false">O14</f>
        <v>17</v>
      </c>
      <c r="G84" s="454" t="n">
        <f aca="false">O15</f>
        <v>6</v>
      </c>
      <c r="H84" s="454" t="n">
        <f aca="false">O16</f>
        <v>8</v>
      </c>
      <c r="I84" s="454" t="n">
        <f aca="false">O17</f>
        <v>3</v>
      </c>
      <c r="J84" s="529" t="n">
        <f aca="false">O8</f>
        <v>10.9411764705882</v>
      </c>
      <c r="K84" s="530" t="n">
        <f aca="false">O9</f>
        <v>3.33379466242465</v>
      </c>
      <c r="L84" s="531" t="n">
        <f aca="false">O10</f>
        <v>5</v>
      </c>
      <c r="M84" s="531" t="n">
        <f aca="false">O11</f>
        <v>18</v>
      </c>
      <c r="N84" s="530" t="n">
        <f aca="false">P8</f>
        <v>1.82352941176471</v>
      </c>
      <c r="O84" s="530" t="n">
        <f aca="false">P9</f>
        <v>0.705882352941176</v>
      </c>
      <c r="P84" s="531" t="n">
        <f aca="false">P10</f>
        <v>1</v>
      </c>
      <c r="Q84" s="531" t="n">
        <f aca="false">P11</f>
        <v>3</v>
      </c>
      <c r="R84" s="531" t="n">
        <f aca="false">F21</f>
        <v>69.13355</v>
      </c>
      <c r="S84" s="531" t="n">
        <f aca="false">L11</f>
        <v>0</v>
      </c>
      <c r="T84" s="531" t="n">
        <f aca="false">L12</f>
        <v>6</v>
      </c>
      <c r="U84" s="531" t="n">
        <f aca="false">L13</f>
        <v>8</v>
      </c>
      <c r="V84" s="532" t="n">
        <f aca="false">L15</f>
        <v>6</v>
      </c>
      <c r="W84" s="533" t="n">
        <f aca="false">L15</f>
        <v>6</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VLOOKUP($T$91,($A$23:$U$82),20,0)</f>
        <v>50</v>
      </c>
      <c r="U87" s="285"/>
      <c r="V87" s="285"/>
    </row>
    <row r="88" customFormat="false" ht="12.75" hidden="true" customHeight="false" outlineLevel="0" collapsed="false">
      <c r="C88" s="535"/>
      <c r="D88" s="535"/>
      <c r="E88" s="535"/>
      <c r="R88" s="285" t="s">
        <v>3454</v>
      </c>
      <c r="S88" s="285"/>
      <c r="T88" s="537" t="n">
        <f aca="false">VLOOKUP($T$91,($A$23:$U$82),21,0)</f>
        <v>100</v>
      </c>
      <c r="U88" s="285"/>
      <c r="V88" s="285" t="n">
        <f aca="false">COUNTIF(V23:V82,T89)</f>
        <v>1</v>
      </c>
    </row>
    <row r="89" customFormat="false" ht="12.75" hidden="true" customHeight="false" outlineLevel="0" collapsed="false">
      <c r="C89" s="535"/>
      <c r="D89" s="535"/>
      <c r="E89" s="535"/>
      <c r="R89" s="285" t="s">
        <v>3455</v>
      </c>
      <c r="S89" s="285"/>
      <c r="T89" s="537" t="n">
        <f aca="false">MAX($V$23:$V$82)</f>
        <v>10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11.7209302325581</v>
      </c>
      <c r="U90" s="285" t="n">
        <f aca="false">IF(ISERROR(T90),0,1)</f>
        <v>1</v>
      </c>
    </row>
    <row r="91" customFormat="false" ht="12.75" hidden="true" customHeight="false" outlineLevel="0" collapsed="false">
      <c r="C91" s="535"/>
      <c r="D91" s="535"/>
      <c r="E91" s="535"/>
      <c r="R91" s="487" t="s">
        <v>3457</v>
      </c>
      <c r="S91" s="487"/>
      <c r="T91" s="487" t="str">
        <f aca="false">INDEX('liste reference'!$A$6:$A$1174,$U$91)</f>
        <v>RANFLU</v>
      </c>
      <c r="U91" s="285" t="n">
        <f aca="false">IF(ISERROR(MATCH($T$93,'liste reference'!$A$6:$A$1174,0)),MATCH($T$93,'liste reference'!$B$6:$B$1174,0),(MATCH($T$93,'liste reference'!$A$6:$A$1174,0)))</f>
        <v>566</v>
      </c>
      <c r="V91" s="525"/>
    </row>
    <row r="92" customFormat="false" ht="12.75" hidden="true" customHeight="false" outlineLevel="0" collapsed="false">
      <c r="C92" s="535"/>
      <c r="D92" s="535"/>
      <c r="E92" s="535"/>
      <c r="R92" s="285" t="s">
        <v>3458</v>
      </c>
      <c r="S92" s="285"/>
      <c r="T92" s="285" t="n">
        <f aca="false">MATCH(T89,$V$23:$V$82,0)</f>
        <v>18</v>
      </c>
      <c r="U92" s="285"/>
    </row>
    <row r="93" customFormat="false" ht="12.75" hidden="true" customHeight="false" outlineLevel="0" collapsed="false">
      <c r="C93" s="535"/>
      <c r="D93" s="535"/>
      <c r="E93" s="535"/>
      <c r="R93" s="487" t="s">
        <v>3459</v>
      </c>
      <c r="S93" s="285"/>
      <c r="T93" s="487" t="str">
        <f aca="false">INDEX($A$23:$A$82,$T$92)</f>
        <v>RANFLU</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15">
      <formula>"code non répertorié ou synonyme"</formula>
    </cfRule>
    <cfRule type="expression" priority="3" aboveAverage="0" equalAverage="0" bottom="0" percent="0" rank="0" text="" dxfId="16">
      <formula>AND($J27="",$K27="")</formula>
    </cfRule>
    <cfRule type="cellIs" priority="4" operator="equal" aboveAverage="0" equalAverage="0" bottom="0" percent="0" rank="0" text="" dxfId="17">
      <formula>"DEJA SAISI !"</formula>
    </cfRule>
  </conditionalFormatting>
  <conditionalFormatting sqref="A23:A82">
    <cfRule type="expression" priority="5" aboveAverage="0" equalAverage="0" bottom="0" percent="0" rank="0" text="" dxfId="18">
      <formula>ISTEXT($E23)</formula>
    </cfRule>
    <cfRule type="cellIs" priority="6" operator="equal" aboveAverage="0" equalAverage="0" bottom="0" percent="0" rank="0" text="" dxfId="19">
      <formula>"NEWCOD"</formula>
    </cfRule>
    <cfRule type="cellIs" priority="7" operator="equal" aboveAverage="0" equalAverage="0" bottom="0" percent="0" rank="0" text="" dxfId="20">
      <formula>"!!!!!!"</formula>
    </cfRule>
  </conditionalFormatting>
  <conditionalFormatting sqref="Q23:Q82">
    <cfRule type="expression" priority="8" aboveAverage="0" equalAverage="0" bottom="0" percent="0" rank="0" text="" dxfId="21">
      <formula>$L23="Taxon déjà saisi !"</formula>
    </cfRule>
  </conditionalFormatting>
  <conditionalFormatting sqref="W23:X82">
    <cfRule type="expression" priority="9" aboveAverage="0" equalAverage="0" bottom="0" percent="0" rank="0" text="" dxfId="22">
      <formula>$A23="newcod"</formula>
    </cfRule>
  </conditionalFormatting>
  <conditionalFormatting sqref="H23:H82">
    <cfRule type="cellIs" priority="10" operator="equal" aboveAverage="0" equalAverage="0" bottom="0" percent="0" rank="0" text="" dxfId="23">
      <formula>"x"</formula>
    </cfRule>
  </conditionalFormatting>
  <conditionalFormatting sqref="A2">
    <cfRule type="cellIs" priority="11" operator="between" aboveAverage="0" equalAverage="0" bottom="0" percent="0" rank="0" text="" dxfId="24">
      <formula>"(organisme)"</formula>
      <formula>"(organisme)"</formula>
    </cfRule>
    <cfRule type="cellIs" priority="12" operator="notBetween" aboveAverage="0" equalAverage="0" bottom="0" percent="0" rank="0" text="" dxfId="25">
      <formula>"(organisme)"</formula>
      <formula>"(organisme)"</formula>
    </cfRule>
  </conditionalFormatting>
  <conditionalFormatting sqref="A3">
    <cfRule type="cellIs" priority="13" operator="between" aboveAverage="0" equalAverage="0" bottom="0" percent="0" rank="0" text="" dxfId="26">
      <formula>"(cours d'eau)"</formula>
      <formula>"(cours d'eau)"</formula>
    </cfRule>
    <cfRule type="cellIs" priority="14" operator="notBetween" aboveAverage="0" equalAverage="0" bottom="0" percent="0" rank="0" text="" dxfId="27">
      <formula>"(cours d'eau)"</formula>
      <formula>"(cours d'eau)"</formula>
    </cfRule>
  </conditionalFormatting>
  <conditionalFormatting sqref="A4">
    <cfRule type="cellIs" priority="15" operator="between" aboveAverage="0" equalAverage="0" bottom="0" percent="0" rank="0" text="" dxfId="28">
      <formula>"(Date)"</formula>
      <formula>"(Date)"</formula>
    </cfRule>
    <cfRule type="cellIs" priority="16" operator="notBetween" aboveAverage="0" equalAverage="0" bottom="0" percent="0" rank="0" text="" dxfId="29">
      <formula>"(Date)"</formula>
      <formula>"(Date)"</formula>
    </cfRule>
  </conditionalFormatting>
  <conditionalFormatting sqref="C2">
    <cfRule type="cellIs" priority="17" operator="between" aboveAverage="0" equalAverage="0" bottom="0" percent="0" rank="0" text="" dxfId="30">
      <formula>"(Opérateurs)"</formula>
      <formula>"(Opérateurs)"</formula>
    </cfRule>
    <cfRule type="cellIs" priority="18" operator="notBetween" aboveAverage="0" equalAverage="0" bottom="0" percent="0" rank="0" text="" dxfId="31">
      <formula>"(Opérateurs)"</formula>
      <formula>"(Opérateurs)"</formula>
    </cfRule>
  </conditionalFormatting>
  <conditionalFormatting sqref="C3">
    <cfRule type="cellIs" priority="19" operator="between" aboveAverage="0" equalAverage="0" bottom="0" percent="0" rank="0" text="" dxfId="32">
      <formula>"(Nom de la station)"</formula>
      <formula>"(Nom de la station)"</formula>
    </cfRule>
    <cfRule type="cellIs" priority="20" operator="notBetween" aboveAverage="0" equalAverage="0" bottom="0" percent="0" rank="0" text="" dxfId="33">
      <formula>"(Nom de la station)"</formula>
      <formula>"(Nom de la station)"</formula>
    </cfRule>
  </conditionalFormatting>
  <conditionalFormatting sqref="L3">
    <cfRule type="cellIs" priority="21" operator="between" aboveAverage="0" equalAverage="0" bottom="0" percent="0" rank="0" text="" dxfId="34">
      <formula>"(Code station)"</formula>
      <formula>"(Code station)"</formula>
    </cfRule>
    <cfRule type="cellIs" priority="22" operator="notBetween" aboveAverage="0" equalAverage="0" bottom="0" percent="0" rank="0" text="" dxfId="35">
      <formula>"(Code station)"</formula>
      <formula>"(Code station)"</formula>
    </cfRule>
  </conditionalFormatting>
  <conditionalFormatting sqref="N3">
    <cfRule type="cellIs" priority="23" operator="between" aboveAverage="0" equalAverage="0" bottom="0" percent="0" rank="0" text="" dxfId="36">
      <formula>"(Dossier, type réseau)"</formula>
      <formula>"(Dossier, type réseau)"</formula>
    </cfRule>
    <cfRule type="cellIs" priority="24" operator="notBetween" aboveAverage="0" equalAverage="0" bottom="0" percent="0" rank="0" text="" dxfId="37">
      <formula>"(Dossier, type réseau)"</formula>
      <formula>"(Dossier, type réseau)"</formula>
    </cfRule>
  </conditionalFormatting>
  <conditionalFormatting sqref="F7">
    <cfRule type="cellIs" priority="25" operator="equal" aboveAverage="0" equalAverage="0" bottom="0" percent="0" rank="0" text="" dxfId="38">
      <formula>100</formula>
    </cfRule>
    <cfRule type="cellIs" priority="26" operator="equal" aboveAverage="0" equalAverage="0" bottom="0" percent="0" rank="0" text="" dxfId="39">
      <formula>0</formula>
    </cfRule>
  </conditionalFormatting>
  <conditionalFormatting sqref="L23:L82">
    <cfRule type="cellIs" priority="27" operator="equal" aboveAverage="0" equalAverage="0" bottom="0" percent="0" rank="0" text="" dxfId="40">
      <formula>"non répertorié ou synonyme. Vérifiez !"</formula>
    </cfRule>
    <cfRule type="cellIs" priority="28" operator="equal" aboveAverage="0" equalAverage="0" bottom="0" percent="0" rank="0" text="" dxfId="41">
      <formula>"Renseigner le champ 'Nouveau taxon'"</formula>
    </cfRule>
    <cfRule type="cellIs" priority="29" operator="equal" aboveAverage="0" equalAverage="0" bottom="0" percent="0" rank="0" text="" dxfId="42">
      <formula>"Taxon déjà saisi !"</formula>
    </cfRule>
  </conditionalFormatting>
  <conditionalFormatting sqref="F23:F82">
    <cfRule type="cellIs" priority="30" operator="equal" aboveAverage="0" equalAverage="0" bottom="0" percent="0" rank="0" text="" dxfId="43">
      <formula>"!!!"</formula>
    </cfRule>
  </conditionalFormatting>
  <conditionalFormatting sqref="B7:C7">
    <cfRule type="expression" priority="31" aboveAverage="0" equalAverage="0" bottom="0" percent="0" rank="0" text="" dxfId="44">
      <formula>$F$7&lt;&gt;100</formula>
    </cfRule>
  </conditionalFormatting>
  <conditionalFormatting sqref="J23:K82">
    <cfRule type="cellIs" priority="32" operator="equal" aboveAverage="0" equalAverage="0" bottom="0" percent="0" rank="0" text="" dxfId="45">
      <formula>"nu"</formula>
    </cfRule>
    <cfRule type="cellIs" priority="33" operator="between" aboveAverage="0" equalAverage="0" bottom="0" percent="0" rank="0" text="" dxfId="46">
      <formula>0</formula>
      <formula>20</formula>
    </cfRule>
  </conditionalFormatting>
  <conditionalFormatting sqref="B4">
    <cfRule type="cellIs" priority="34" operator="equal" aboveAverage="0" equalAverage="0" bottom="0" percent="0" rank="0" text="" dxfId="47">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stop"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false" showRowColHeaders="false" showZeros="true" rightToLeft="false" tabSelected="false" showOutlineSymbols="true" defaultGridColor="true" view="normal" topLeftCell="A1" colorId="64" zoomScale="85" zoomScaleNormal="85" zoomScalePageLayoutView="100" workbookViewId="0">
      <selection pane="topLeft" activeCell="A24" activeCellId="0" sqref="A24"/>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reference'!$A$6:$H$1174,8,0)),IF(ISERROR(VLOOKUP($A23,'liste reference'!$B$6:$H$1174,7,0)),"",VLOOKUP($A23,'liste reference'!$B$6:$H$1174,7,0)),VLOOKUP($A23,'liste reference'!$A$6:$H$1174,8,0))))</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reference'!$A$6:$H$1174,8,0)),IF(ISERROR(VLOOKUP($A24,'liste reference'!$B$6:$H$1174,7,0)),"",VLOOKUP($A24,'liste reference'!$B$6:$H$1174,7,0)),VLOOKUP($A24,'liste reference'!$A$6:$H$1174,8,0))))</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reference'!$A$6:$H$1174,8,0)),IF(ISERROR(VLOOKUP($A25,'liste reference'!$B$6:$H$1174,7,0)),"",VLOOKUP($A25,'liste reference'!$B$6:$H$1174,7,0)),VLOOKUP($A25,'liste reference'!$A$6:$H$1174,8,0))))</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reference'!$A$6:$H$1174,8,0)),IF(ISERROR(VLOOKUP($A26,'liste reference'!$B$6:$H$1174,7,0)),"",VLOOKUP($A26,'liste reference'!$B$6:$H$1174,7,0)),VLOOKUP($A26,'liste reference'!$A$6:$H$1174,8,0))))</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reference'!$A$6:$H$1174,8,0)),IF(ISERROR(VLOOKUP($A27,'liste reference'!$B$6:$H$1174,7,0)),"",VLOOKUP($A27,'liste reference'!$B$6:$H$1174,7,0)),VLOOKUP($A27,'liste reference'!$A$6:$H$1174,8,0))))</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reference'!$A$6:$H$1174,8,0)),IF(ISERROR(VLOOKUP($A28,'liste reference'!$B$6:$H$1174,7,0)),"",VLOOKUP($A28,'liste reference'!$B$6:$H$1174,7,0)),VLOOKUP($A28,'liste reference'!$A$6:$H$1174,8,0))))</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reference'!$A$6:$H$1174,8,0)),IF(ISERROR(VLOOKUP($A29,'liste reference'!$B$6:$H$1174,7,0)),"",VLOOKUP($A29,'liste reference'!$B$6:$H$1174,7,0)),VLOOKUP($A29,'liste reference'!$A$6:$H$1174,8,0))))</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reference'!$A$6:$H$1174,8,0)),IF(ISERROR(VLOOKUP($A30,'liste reference'!$B$6:$H$1174,7,0)),"",VLOOKUP($A30,'liste reference'!$B$6:$H$1174,7,0)),VLOOKUP($A30,'liste reference'!$A$6:$H$1174,8,0))))</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reference'!$A$6:$H$1174,8,0)),IF(ISERROR(VLOOKUP($A31,'liste reference'!$B$6:$H$1174,7,0)),"",VLOOKUP($A31,'liste reference'!$B$6:$H$1174,7,0)),VLOOKUP($A31,'liste reference'!$A$6:$H$1174,8,0))))</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reference'!$A$6:$H$1174,8,0)),IF(ISERROR(VLOOKUP($A32,'liste reference'!$B$6:$H$1174,7,0)),"",VLOOKUP($A32,'liste reference'!$B$6:$H$1174,7,0)),VLOOKUP($A32,'liste reference'!$A$6:$H$1174,8,0))))</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reference'!$A$6:$H$1174,8,0)),IF(ISERROR(VLOOKUP($A33,'liste reference'!$B$6:$H$1174,7,0)),"",VLOOKUP($A33,'liste reference'!$B$6:$H$1174,7,0)),VLOOKUP($A33,'liste reference'!$A$6:$H$1174,8,0))))</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reference'!$A$6:$H$1174,8,0)),IF(ISERROR(VLOOKUP($A34,'liste reference'!$B$6:$H$1174,7,0)),"",VLOOKUP($A34,'liste reference'!$B$6:$H$1174,7,0)),VLOOKUP($A34,'liste reference'!$A$6:$H$1174,8,0))))</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reference'!$A$6:$H$1174,8,0)),IF(ISERROR(VLOOKUP($A35,'liste reference'!$B$6:$H$1174,7,0)),"",VLOOKUP($A35,'liste reference'!$B$6:$H$1174,7,0)),VLOOKUP($A35,'liste reference'!$A$6:$H$1174,8,0))))</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reference'!$A$6:$H$1174,8,0)),IF(ISERROR(VLOOKUP($A36,'liste reference'!$B$6:$H$1174,7,0)),"",VLOOKUP($A36,'liste reference'!$B$6:$H$1174,7,0)),VLOOKUP($A36,'liste reference'!$A$6:$H$1174,8,0))))</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reference'!$A$6:$H$1174,8,0)),IF(ISERROR(VLOOKUP($A37,'liste reference'!$B$6:$H$1174,7,0)),"",VLOOKUP($A37,'liste reference'!$B$6:$H$1174,7,0)),VLOOKUP($A37,'liste reference'!$A$6:$H$1174,8,0))))</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reference'!$A$6:$H$1174,8,0)),IF(ISERROR(VLOOKUP($A38,'liste reference'!$B$6:$H$1174,7,0)),"",VLOOKUP($A38,'liste reference'!$B$6:$H$1174,7,0)),VLOOKUP($A38,'liste reference'!$A$6:$H$1174,8,0))))</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reference'!$A$6:$H$1174,8,0)),IF(ISERROR(VLOOKUP($A39,'liste reference'!$B$6:$H$1174,7,0)),"",VLOOKUP($A39,'liste reference'!$B$6:$H$1174,7,0)),VLOOKUP($A39,'liste reference'!$A$6:$H$1174,8,0))))</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reference'!$A$6:$H$1174,8,0)),IF(ISERROR(VLOOKUP($A40,'liste reference'!$B$6:$H$1174,7,0)),"",VLOOKUP($A40,'liste reference'!$B$6:$H$1174,7,0)),VLOOKUP($A40,'liste reference'!$A$6:$H$1174,8,0))))</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reference'!$A$6:$H$1174,8,0)),IF(ISERROR(VLOOKUP($A41,'liste reference'!$B$6:$H$1174,7,0)),"",VLOOKUP($A41,'liste reference'!$B$6:$H$1174,7,0)),VLOOKUP($A41,'liste reference'!$A$6:$H$1174,8,0))))</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reference'!$A$6:$H$1174,8,0)),IF(ISERROR(VLOOKUP($A42,'liste reference'!$B$6:$H$1174,7,0)),"",VLOOKUP($A42,'liste reference'!$B$6:$H$1174,7,0)),VLOOKUP($A42,'liste reference'!$A$6:$H$1174,8,0))))</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reference'!$A$6:$H$1174,8,0)),IF(ISERROR(VLOOKUP($A43,'liste reference'!$B$6:$H$1174,7,0)),"",VLOOKUP($A43,'liste reference'!$B$6:$H$1174,7,0)),VLOOKUP($A43,'liste reference'!$A$6:$H$1174,8,0))))</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reference'!$A$6:$H$1174,8,0)),IF(ISERROR(VLOOKUP($A44,'liste reference'!$B$6:$H$1174,7,0)),"",VLOOKUP($A44,'liste reference'!$B$6:$H$1174,7,0)),VLOOKUP($A44,'liste reference'!$A$6:$H$1174,8,0))))</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reference'!$A$6:$H$1174,8,0)),IF(ISERROR(VLOOKUP($A45,'liste reference'!$B$6:$H$1174,7,0)),"",VLOOKUP($A45,'liste reference'!$B$6:$H$1174,7,0)),VLOOKUP($A45,'liste reference'!$A$6:$H$1174,8,0))))</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reference'!$A$6:$H$1174,8,0)),IF(ISERROR(VLOOKUP($A46,'liste reference'!$B$6:$H$1174,7,0)),"",VLOOKUP($A46,'liste reference'!$B$6:$H$1174,7,0)),VLOOKUP($A46,'liste reference'!$A$6:$H$1174,8,0))))</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reference'!$A$6:$H$1174,8,0)),IF(ISERROR(VLOOKUP($A47,'liste reference'!$B$6:$H$1174,7,0)),"",VLOOKUP($A47,'liste reference'!$B$6:$H$1174,7,0)),VLOOKUP($A47,'liste reference'!$A$6:$H$1174,8,0))))</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reference'!$A$6:$H$1174,8,0)),IF(ISERROR(VLOOKUP($A48,'liste reference'!$B$6:$H$1174,7,0)),"",VLOOKUP($A48,'liste reference'!$B$6:$H$1174,7,0)),VLOOKUP($A48,'liste reference'!$A$6:$H$1174,8,0))))</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reference'!$A$6:$H$1174,8,0)),IF(ISERROR(VLOOKUP($A49,'liste reference'!$B$6:$H$1174,7,0)),"",VLOOKUP($A49,'liste reference'!$B$6:$H$1174,7,0)),VLOOKUP($A49,'liste reference'!$A$6:$H$1174,8,0))))</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reference'!$A$6:$H$1174,8,0)),IF(ISERROR(VLOOKUP($A50,'liste reference'!$B$6:$H$1174,7,0)),"",VLOOKUP($A50,'liste reference'!$B$6:$H$1174,7,0)),VLOOKUP($A50,'liste reference'!$A$6:$H$1174,8,0))))</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reference'!$A$6:$H$1174,8,0)),IF(ISERROR(VLOOKUP($A51,'liste reference'!$B$6:$H$1174,7,0)),"",VLOOKUP($A51,'liste reference'!$B$6:$H$1174,7,0)),VLOOKUP($A51,'liste reference'!$A$6:$H$1174,8,0))))</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reference'!$A$6:$H$1174,8,0)),IF(ISERROR(VLOOKUP($A52,'liste reference'!$B$6:$H$1174,7,0)),"",VLOOKUP($A52,'liste reference'!$B$6:$H$1174,7,0)),VLOOKUP($A52,'liste reference'!$A$6:$H$1174,8,0))))</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reference'!$A$6:$H$1174,8,0)),IF(ISERROR(VLOOKUP($A53,'liste reference'!$B$6:$H$1174,7,0)),"",VLOOKUP($A53,'liste reference'!$B$6:$H$1174,7,0)),VLOOKUP($A53,'liste reference'!$A$6:$H$1174,8,0))))</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reference'!$A$6:$H$1174,8,0)),IF(ISERROR(VLOOKUP($A54,'liste reference'!$B$6:$H$1174,7,0)),"",VLOOKUP($A54,'liste reference'!$B$6:$H$1174,7,0)),VLOOKUP($A54,'liste reference'!$A$6:$H$1174,8,0))))</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reference'!$A$6:$H$1174,8,0)),IF(ISERROR(VLOOKUP($A55,'liste reference'!$B$6:$H$1174,7,0)),"",VLOOKUP($A55,'liste reference'!$B$6:$H$1174,7,0)),VLOOKUP($A55,'liste reference'!$A$6:$H$1174,8,0))))</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reference'!$A$6:$H$1174,8,0)),IF(ISERROR(VLOOKUP($A56,'liste reference'!$B$6:$H$1174,7,0)),"",VLOOKUP($A56,'liste reference'!$B$6:$H$1174,7,0)),VLOOKUP($A56,'liste reference'!$A$6:$H$1174,8,0))))</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reference'!$A$6:$H$1174,8,0)),IF(ISERROR(VLOOKUP($A57,'liste reference'!$B$6:$H$1174,7,0)),"",VLOOKUP($A57,'liste reference'!$B$6:$H$1174,7,0)),VLOOKUP($A57,'liste reference'!$A$6:$H$1174,8,0))))</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reference'!$A$6:$H$1174,8,0)),IF(ISERROR(VLOOKUP($A58,'liste reference'!$B$6:$H$1174,7,0)),"",VLOOKUP($A58,'liste reference'!$B$6:$H$1174,7,0)),VLOOKUP($A58,'liste reference'!$A$6:$H$1174,8,0))))</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reference'!$A$6:$H$1174,8,0)),IF(ISERROR(VLOOKUP($A59,'liste reference'!$B$6:$H$1174,7,0)),"",VLOOKUP($A59,'liste reference'!$B$6:$H$1174,7,0)),VLOOKUP($A59,'liste reference'!$A$6:$H$1174,8,0))))</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reference'!$A$6:$H$1174,8,0)),IF(ISERROR(VLOOKUP($A60,'liste reference'!$B$6:$H$1174,7,0)),"",VLOOKUP($A60,'liste reference'!$B$6:$H$1174,7,0)),VLOOKUP($A60,'liste reference'!$A$6:$H$1174,8,0))))</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reference'!$A$6:$H$1174,8,0)),IF(ISERROR(VLOOKUP($A61,'liste reference'!$B$6:$H$1174,7,0)),"",VLOOKUP($A61,'liste reference'!$B$6:$H$1174,7,0)),VLOOKUP($A61,'liste reference'!$A$6:$H$1174,8,0))))</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reference'!$A$6:$H$1174,8,0)),IF(ISERROR(VLOOKUP($A62,'liste reference'!$B$6:$H$1174,7,0)),"",VLOOKUP($A62,'liste reference'!$B$6:$H$1174,7,0)),VLOOKUP($A62,'liste reference'!$A$6:$H$1174,8,0))))</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reference'!$A$6:$H$1174,8,0)),IF(ISERROR(VLOOKUP($A63,'liste reference'!$B$6:$H$1174,7,0)),"",VLOOKUP($A63,'liste reference'!$B$6:$H$1174,7,0)),VLOOKUP($A63,'liste reference'!$A$6:$H$1174,8,0))))</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reference'!$A$6:$H$1174,8,0)),IF(ISERROR(VLOOKUP($A64,'liste reference'!$B$6:$H$1174,7,0)),"",VLOOKUP($A64,'liste reference'!$B$6:$H$1174,7,0)),VLOOKUP($A64,'liste reference'!$A$6:$H$1174,8,0))))</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reference'!$A$6:$H$1174,8,0)),IF(ISERROR(VLOOKUP($A65,'liste reference'!$B$6:$H$1174,7,0)),"",VLOOKUP($A65,'liste reference'!$B$6:$H$1174,7,0)),VLOOKUP($A65,'liste reference'!$A$6:$H$1174,8,0))))</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reference'!$A$6:$H$1174,8,0)),IF(ISERROR(VLOOKUP($A66,'liste reference'!$B$6:$H$1174,7,0)),"",VLOOKUP($A66,'liste reference'!$B$6:$H$1174,7,0)),VLOOKUP($A66,'liste reference'!$A$6:$H$1174,8,0))))</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reference'!$A$6:$H$1174,8,0)),IF(ISERROR(VLOOKUP($A67,'liste reference'!$B$6:$H$1174,7,0)),"",VLOOKUP($A67,'liste reference'!$B$6:$H$1174,7,0)),VLOOKUP($A67,'liste reference'!$A$6:$H$1174,8,0))))</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reference'!$A$6:$H$1174,8,0)),IF(ISERROR(VLOOKUP($A68,'liste reference'!$B$6:$H$1174,7,0)),"",VLOOKUP($A68,'liste reference'!$B$6:$H$1174,7,0)),VLOOKUP($A68,'liste reference'!$A$6:$H$1174,8,0))))</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reference'!$A$6:$H$1174,8,0)),IF(ISERROR(VLOOKUP($A69,'liste reference'!$B$6:$H$1174,7,0)),"",VLOOKUP($A69,'liste reference'!$B$6:$H$1174,7,0)),VLOOKUP($A69,'liste reference'!$A$6:$H$1174,8,0))))</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reference'!$A$6:$H$1174,8,0)),IF(ISERROR(VLOOKUP($A70,'liste reference'!$B$6:$H$1174,7,0)),"",VLOOKUP($A70,'liste reference'!$B$6:$H$1174,7,0)),VLOOKUP($A70,'liste reference'!$A$6:$H$1174,8,0))))</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reference'!$A$6:$H$1174,8,0)),IF(ISERROR(VLOOKUP($A71,'liste reference'!$B$6:$H$1174,7,0)),"",VLOOKUP($A71,'liste reference'!$B$6:$H$1174,7,0)),VLOOKUP($A71,'liste reference'!$A$6:$H$1174,8,0))))</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reference'!$A$6:$H$1174,8,0)),IF(ISERROR(VLOOKUP($A72,'liste reference'!$B$6:$H$1174,7,0)),"",VLOOKUP($A72,'liste reference'!$B$6:$H$1174,7,0)),VLOOKUP($A72,'liste reference'!$A$6:$H$1174,8,0))))</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reference'!$A$6:$H$1174,8,0)),IF(ISERROR(VLOOKUP($A73,'liste reference'!$B$6:$H$1174,7,0)),"",VLOOKUP($A73,'liste reference'!$B$6:$H$1174,7,0)),VLOOKUP($A73,'liste reference'!$A$6:$H$1174,8,0))))</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reference'!$A$6:$H$1174,8,0)),IF(ISERROR(VLOOKUP($A74,'liste reference'!$B$6:$H$1174,7,0)),"",VLOOKUP($A74,'liste reference'!$B$6:$H$1174,7,0)),VLOOKUP($A74,'liste reference'!$A$6:$H$1174,8,0))))</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reference'!$A$6:$H$1174,8,0)),IF(ISERROR(VLOOKUP($A75,'liste reference'!$B$6:$H$1174,7,0)),"",VLOOKUP($A75,'liste reference'!$B$6:$H$1174,7,0)),VLOOKUP($A75,'liste reference'!$A$6:$H$1174,8,0))))</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reference'!$A$6:$H$1174,8,0)),IF(ISERROR(VLOOKUP($A76,'liste reference'!$B$6:$H$1174,7,0)),"",VLOOKUP($A76,'liste reference'!$B$6:$H$1174,7,0)),VLOOKUP($A76,'liste reference'!$A$6:$H$1174,8,0))))</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reference'!$A$6:$H$1174,8,0)),IF(ISERROR(VLOOKUP($A77,'liste reference'!$B$6:$H$1174,7,0)),"",VLOOKUP($A77,'liste reference'!$B$6:$H$1174,7,0)),VLOOKUP($A77,'liste reference'!$A$6:$H$1174,8,0))))</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reference'!$A$6:$H$1174,8,0)),IF(ISERROR(VLOOKUP($A78,'liste reference'!$B$6:$H$1174,7,0)),"",VLOOKUP($A78,'liste reference'!$B$6:$H$1174,7,0)),VLOOKUP($A78,'liste reference'!$A$6:$H$1174,8,0))))</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reference'!$A$6:$H$1174,8,0)),IF(ISERROR(VLOOKUP($A79,'liste reference'!$B$6:$H$1174,7,0)),"",VLOOKUP($A79,'liste reference'!$B$6:$H$1174,7,0)),VLOOKUP($A79,'liste reference'!$A$6:$H$1174,8,0))))</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reference'!$A$6:$H$1174,8,0)),IF(ISERROR(VLOOKUP($A80,'liste reference'!$B$6:$H$1174,7,0)),"",VLOOKUP($A80,'liste reference'!$B$6:$H$1174,7,0)),VLOOKUP($A80,'liste reference'!$A$6:$H$1174,8,0))))</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reference'!$A$6:$H$1174,8,0)),IF(ISERROR(VLOOKUP($A81,'liste reference'!$B$6:$H$1174,7,0)),"",VLOOKUP($A81,'liste reference'!$B$6:$H$1174,7,0)),VLOOKUP($A81,'liste reference'!$A$6:$H$1174,8,0))))</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reference'!$A$6:$H$1174,8,0)),IF(ISERROR(VLOOKUP($A82,'liste reference'!$B$6:$H$1174,7,0)),"",VLOOKUP($A82,'liste reference'!$B$6:$H$1174,7,0)),VLOOKUP($A82,'liste reference'!$A$6:$H$1174,8,0))))</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VLOOKUP($T$91,($A$23:$U$82),20,0)</f>
        <v>0</v>
      </c>
      <c r="U87" s="285"/>
      <c r="V87" s="285"/>
    </row>
    <row r="88" customFormat="false" ht="12.75" hidden="true" customHeight="false" outlineLevel="0" collapsed="false">
      <c r="C88" s="535"/>
      <c r="D88" s="535"/>
      <c r="E88" s="535"/>
      <c r="R88" s="285" t="s">
        <v>3454</v>
      </c>
      <c r="S88" s="285"/>
      <c r="T88" s="537" t="n">
        <f aca="false">VLOOKUP($T$91,($A$23:$U$82),21,0)</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48">
      <formula>"code non répertorié ou synonyme"</formula>
    </cfRule>
    <cfRule type="expression" priority="3" aboveAverage="0" equalAverage="0" bottom="0" percent="0" rank="0" text="" dxfId="49">
      <formula>AND($J27="",$K27="")</formula>
    </cfRule>
    <cfRule type="cellIs" priority="4" operator="equal" aboveAverage="0" equalAverage="0" bottom="0" percent="0" rank="0" text="" dxfId="50">
      <formula>"DEJA SAISI !"</formula>
    </cfRule>
  </conditionalFormatting>
  <conditionalFormatting sqref="A23:A82">
    <cfRule type="expression" priority="5" aboveAverage="0" equalAverage="0" bottom="0" percent="0" rank="0" text="" dxfId="51">
      <formula>ISTEXT($E23)</formula>
    </cfRule>
    <cfRule type="cellIs" priority="6" operator="equal" aboveAverage="0" equalAverage="0" bottom="0" percent="0" rank="0" text="" dxfId="52">
      <formula>"NEWCOD"</formula>
    </cfRule>
    <cfRule type="cellIs" priority="7" operator="equal" aboveAverage="0" equalAverage="0" bottom="0" percent="0" rank="0" text="" dxfId="53">
      <formula>"!!!!!!"</formula>
    </cfRule>
  </conditionalFormatting>
  <conditionalFormatting sqref="Q23:Q82">
    <cfRule type="expression" priority="8" aboveAverage="0" equalAverage="0" bottom="0" percent="0" rank="0" text="" dxfId="54">
      <formula>$L23="Taxon déjà saisi !"</formula>
    </cfRule>
  </conditionalFormatting>
  <conditionalFormatting sqref="W23:X82">
    <cfRule type="expression" priority="9" aboveAverage="0" equalAverage="0" bottom="0" percent="0" rank="0" text="" dxfId="55">
      <formula>$A23="newcod"</formula>
    </cfRule>
  </conditionalFormatting>
  <conditionalFormatting sqref="H23:H82">
    <cfRule type="cellIs" priority="10" operator="equal" aboveAverage="0" equalAverage="0" bottom="0" percent="0" rank="0" text="" dxfId="56">
      <formula>"x"</formula>
    </cfRule>
  </conditionalFormatting>
  <conditionalFormatting sqref="A2">
    <cfRule type="cellIs" priority="11" operator="between" aboveAverage="0" equalAverage="0" bottom="0" percent="0" rank="0" text="" dxfId="57">
      <formula>"(organisme)"</formula>
      <formula>"(organisme)"</formula>
    </cfRule>
    <cfRule type="cellIs" priority="12" operator="notBetween" aboveAverage="0" equalAverage="0" bottom="0" percent="0" rank="0" text="" dxfId="58">
      <formula>"(organisme)"</formula>
      <formula>"(organisme)"</formula>
    </cfRule>
  </conditionalFormatting>
  <conditionalFormatting sqref="A3">
    <cfRule type="cellIs" priority="13" operator="between" aboveAverage="0" equalAverage="0" bottom="0" percent="0" rank="0" text="" dxfId="59">
      <formula>"(cours d'eau)"</formula>
      <formula>"(cours d'eau)"</formula>
    </cfRule>
    <cfRule type="cellIs" priority="14" operator="notBetween" aboveAverage="0" equalAverage="0" bottom="0" percent="0" rank="0" text="" dxfId="60">
      <formula>"(cours d'eau)"</formula>
      <formula>"(cours d'eau)"</formula>
    </cfRule>
  </conditionalFormatting>
  <conditionalFormatting sqref="A4">
    <cfRule type="cellIs" priority="15" operator="between" aboveAverage="0" equalAverage="0" bottom="0" percent="0" rank="0" text="" dxfId="61">
      <formula>"(Date)"</formula>
      <formula>"(Date)"</formula>
    </cfRule>
    <cfRule type="cellIs" priority="16" operator="notBetween" aboveAverage="0" equalAverage="0" bottom="0" percent="0" rank="0" text="" dxfId="62">
      <formula>"(Date)"</formula>
      <formula>"(Date)"</formula>
    </cfRule>
  </conditionalFormatting>
  <conditionalFormatting sqref="C2">
    <cfRule type="cellIs" priority="17" operator="between" aboveAverage="0" equalAverage="0" bottom="0" percent="0" rank="0" text="" dxfId="63">
      <formula>"(Opérateurs)"</formula>
      <formula>"(Opérateurs)"</formula>
    </cfRule>
    <cfRule type="cellIs" priority="18" operator="notBetween" aboveAverage="0" equalAverage="0" bottom="0" percent="0" rank="0" text="" dxfId="64">
      <formula>"(Opérateurs)"</formula>
      <formula>"(Opérateurs)"</formula>
    </cfRule>
  </conditionalFormatting>
  <conditionalFormatting sqref="C3">
    <cfRule type="cellIs" priority="19" operator="between" aboveAverage="0" equalAverage="0" bottom="0" percent="0" rank="0" text="" dxfId="65">
      <formula>"(Nom de la station)"</formula>
      <formula>"(Nom de la station)"</formula>
    </cfRule>
    <cfRule type="cellIs" priority="20" operator="notBetween" aboveAverage="0" equalAverage="0" bottom="0" percent="0" rank="0" text="" dxfId="66">
      <formula>"(Nom de la station)"</formula>
      <formula>"(Nom de la station)"</formula>
    </cfRule>
  </conditionalFormatting>
  <conditionalFormatting sqref="L3">
    <cfRule type="cellIs" priority="21" operator="between" aboveAverage="0" equalAverage="0" bottom="0" percent="0" rank="0" text="" dxfId="67">
      <formula>"(Code station)"</formula>
      <formula>"(Code station)"</formula>
    </cfRule>
    <cfRule type="cellIs" priority="22" operator="notBetween" aboveAverage="0" equalAverage="0" bottom="0" percent="0" rank="0" text="" dxfId="68">
      <formula>"(Code station)"</formula>
      <formula>"(Code station)"</formula>
    </cfRule>
  </conditionalFormatting>
  <conditionalFormatting sqref="N3">
    <cfRule type="cellIs" priority="23" operator="between" aboveAverage="0" equalAverage="0" bottom="0" percent="0" rank="0" text="" dxfId="69">
      <formula>"(Dossier, type réseau)"</formula>
      <formula>"(Dossier, type réseau)"</formula>
    </cfRule>
    <cfRule type="cellIs" priority="24" operator="notBetween" aboveAverage="0" equalAverage="0" bottom="0" percent="0" rank="0" text="" dxfId="70">
      <formula>"(Dossier, type réseau)"</formula>
      <formula>"(Dossier, type réseau)"</formula>
    </cfRule>
  </conditionalFormatting>
  <conditionalFormatting sqref="F7">
    <cfRule type="cellIs" priority="25" operator="equal" aboveAverage="0" equalAverage="0" bottom="0" percent="0" rank="0" text="" dxfId="71">
      <formula>100</formula>
    </cfRule>
    <cfRule type="cellIs" priority="26" operator="equal" aboveAverage="0" equalAverage="0" bottom="0" percent="0" rank="0" text="" dxfId="72">
      <formula>0</formula>
    </cfRule>
  </conditionalFormatting>
  <conditionalFormatting sqref="L23:L82">
    <cfRule type="cellIs" priority="27" operator="equal" aboveAverage="0" equalAverage="0" bottom="0" percent="0" rank="0" text="" dxfId="73">
      <formula>"non répertorié ou synonyme. Vérifiez !"</formula>
    </cfRule>
    <cfRule type="cellIs" priority="28" operator="equal" aboveAverage="0" equalAverage="0" bottom="0" percent="0" rank="0" text="" dxfId="74">
      <formula>"Renseigner le champ 'Nouveau taxon'"</formula>
    </cfRule>
    <cfRule type="cellIs" priority="29" operator="equal" aboveAverage="0" equalAverage="0" bottom="0" percent="0" rank="0" text="" dxfId="75">
      <formula>"Taxon déjà saisi !"</formula>
    </cfRule>
  </conditionalFormatting>
  <conditionalFormatting sqref="F23:F82">
    <cfRule type="cellIs" priority="30" operator="equal" aboveAverage="0" equalAverage="0" bottom="0" percent="0" rank="0" text="" dxfId="76">
      <formula>"!!!"</formula>
    </cfRule>
  </conditionalFormatting>
  <conditionalFormatting sqref="B7:C7">
    <cfRule type="expression" priority="31" aboveAverage="0" equalAverage="0" bottom="0" percent="0" rank="0" text="" dxfId="77">
      <formula>$F$7&lt;&gt;100</formula>
    </cfRule>
  </conditionalFormatting>
  <conditionalFormatting sqref="J23:K82">
    <cfRule type="cellIs" priority="32" operator="equal" aboveAverage="0" equalAverage="0" bottom="0" percent="0" rank="0" text="" dxfId="78">
      <formula>"nu"</formula>
    </cfRule>
    <cfRule type="cellIs" priority="33" operator="between" aboveAverage="0" equalAverage="0" bottom="0" percent="0" rank="0" text="" dxfId="79">
      <formula>0</formula>
      <formula>20</formula>
    </cfRule>
  </conditionalFormatting>
  <conditionalFormatting sqref="B4">
    <cfRule type="cellIs" priority="34" operator="equal" aboveAverage="0" equalAverage="0" bottom="0" percent="0" rank="0" text="" dxfId="80">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stop"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K13" activeCellId="0" sqref="K13"/>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3488</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3402</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2018-02-02T08:28:12Z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