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5780" sheetId="6" state="visible" r:id="rId8"/>
    <sheet name="jgjg" sheetId="7" state="hidden" r:id="rId9"/>
    <sheet name="liste codes réf" sheetId="8" state="hidden" r:id="rId10"/>
  </sheets>
  <definedNames>
    <definedName function="false" hidden="false" localSheetId="5" name="_xlnm.Print_Area" vbProcedure="false">'05125780'!$A$1:$Q$82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'05125780'!$A$1:$Q$82</definedName>
    <definedName function="false" hidden="false" localSheetId="5" name="_xlnm__FilterDatabase" vbProcedure="false">'05125780'!$A$1:$C$1415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<sst xmlns="http://schemas.openxmlformats.org/spreadsheetml/2006/main" count="8842" uniqueCount="3496">
  <si>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</si>
  <si>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</si>
  <si>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</si>
  <si>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</si>
  <si>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</si>
  <si>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</si>
  <si>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</si>
  <si>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</si>
  <si>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</si>
  <si>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</si>
  <si>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</si>
  <si>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</si>
  <si>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</si>
  <si>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</si>
  <si>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</si>
  <si>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</si>
  <si>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</si>
  <si>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</si>
  <si>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</si>
  <si>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</si>
  <si>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</si>
  <si>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</si>
  <si>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</si>
  <si>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</si>
  <si>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</si>
  <si>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</si>
  <si>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</si>
  <si>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</si>
  <si>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</si>
  <si>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</si>
  <si>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</si>
  <si>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</si>
  <si>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</si>
  <si>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</si>
  <si>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</si>
  <si>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</si>
  <si>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</si>
  <si>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</si>
  <si>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</si>
  <si>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</si>
  <si>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</si>
  <si>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</si>
  <si>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</si>
  <si>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</si>
  <si>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</si>
  <si>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</si>
  <si>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</si>
  <si>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</si>
  <si>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</si>
  <si>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</si>
  <si>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</si>
  <si>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</si>
  <si>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</si>
  <si>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</si>
  <si>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</si>
  <si>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</si>
  <si>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</si>
  <si>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</si>
  <si>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</si>
  <si>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</si>
  <si>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</si>
  <si>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</si>
  <si>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</si>
  <si>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</si>
  <si>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</si>
  <si>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</si>
  <si>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</si>
  <si>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</si>
  <si>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</si>
  <si>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</si>
  <si>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</si>
  <si>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</si>
  <si>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</si>
  <si>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</si>
  <si>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</si>
  <si>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</si>
  <si>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</si>
  <si>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</si>
  <si>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</si>
  <si>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</si>
  <si>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</si>
  <si>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</si>
  <si>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</si>
  <si>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</si>
  <si>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</si>
  <si>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</si>
  <si>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</si>
  <si>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</si>
  <si>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</si>
  <si>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</si>
  <si>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</si>
  <si>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</si>
  <si>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</si>
  <si>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</si>
  <si>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</si>
  <si>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</si>
  <si>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</si>
  <si>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</si>
  <si>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</si>
  <si>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</si>
  <si>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</si>
  <si>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</si>
  <si>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</si>
  <si>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</si>
  <si>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</si>
  <si>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</si>
  <si>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</si>
  <si>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</si>
  <si>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</si>
  <si>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</si>
  <si>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</si>
  <si>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</si>
  <si>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</si>
  <si>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</si>
  <si>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</si>
  <si>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</si>
  <si>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</si>
  <si>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</si>
  <si>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</si>
  <si>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</si>
  <si>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</si>
  <si>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</si>
  <si>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</si>
  <si>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</si>
  <si>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</si>
  <si>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</si>
  <si>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</si>
  <si>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</si>
  <si>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</si>
  <si>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</si>
  <si>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</si>
  <si>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</si>
  <si>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</si>
  <si>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</si>
  <si>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</si>
  <si>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</si>
  <si>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</si>
  <si>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</si>
  <si>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</si>
  <si>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</si>
  <si>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</si>
  <si>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</si>
  <si>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</si>
  <si>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</si>
  <si>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</si>
  <si>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</si>
  <si>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</si>
  <si>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</si>
  <si>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</si>
  <si>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</si>
  <si>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</si>
  <si>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</si>
  <si>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</si>
  <si>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</si>
  <si>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</si>
  <si>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</si>
  <si>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</si>
  <si>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</si>
  <si>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</si>
  <si>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</si>
  <si>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</si>
  <si>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</si>
  <si>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</si>
  <si>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</si>
  <si>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</si>
  <si>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</si>
  <si>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</si>
  <si>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</si>
  <si>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</si>
  <si>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</si>
  <si>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</si>
  <si>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</si>
  <si>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</si>
  <si>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</si>
  <si>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</si>
  <si>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</si>
  <si>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</si>
  <si>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</si>
  <si>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</si>
  <si>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</si>
  <si>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</si>
  <si>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</si>
  <si>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</si>
  <si>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</si>
  <si>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</si>
  <si>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</si>
  <si>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</si>
  <si>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</si>
  <si>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</si>
  <si>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</si>
  <si>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</si>
  <si>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</si>
  <si>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</si>
  <si>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</si>
  <si>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</si>
  <si>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</si>
  <si>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</si>
  <si>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</si>
  <si>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</si>
  <si>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</si>
  <si>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</si>
  <si>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</si>
  <si>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</si>
  <si>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</si>
  <si>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</si>
  <si>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</si>
  <si>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</si>
  <si>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</si>
  <si>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</si>
  <si>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</si>
  <si>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</si>
  <si>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</si>
  <si>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</si>
  <si>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</si>
  <si>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</si>
  <si>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</si>
  <si>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</si>
  <si>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</si>
  <si>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</si>
  <si>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</si>
  <si>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</si>
  <si>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</si>
  <si>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</si>
  <si>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</si>
  <si>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</si>
  <si>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</si>
  <si>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</si>
  <si>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</si>
  <si>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</si>
  <si>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</si>
  <si>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</si>
  <si>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</si>
  <si>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</si>
  <si>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</si>
  <si>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</si>
  <si>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</si>
  <si>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</si>
  <si>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</si>
  <si>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</si>
  <si>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</si>
  <si>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</si>
  <si>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</si>
  <si>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</si>
  <si>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</si>
  <si>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</si>
  <si>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</si>
  <si>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</si>
  <si>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</si>
  <si>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</si>
  <si>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</si>
  <si>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</si>
  <si>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</si>
  <si>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</si>
  <si>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</si>
  <si>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</si>
  <si>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</si>
  <si>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</si>
  <si>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</si>
  <si>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</si>
  <si>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</si>
  <si>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</si>
  <si>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</si>
  <si>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</si>
  <si>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</si>
  <si>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</si>
  <si>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</si>
  <si>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</si>
  <si>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</si>
  <si>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</si>
  <si>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</si>
  <si>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</si>
  <si>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</si>
  <si>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</si>
  <si>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</si>
  <si>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</si>
  <si>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</si>
  <si>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</si>
  <si>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</si>
  <si>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</si>
  <si>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</si>
  <si>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</si>
  <si>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</si>
  <si>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</si>
  <si>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</si>
  <si>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</si>
  <si>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</si>
  <si>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</si>
  <si>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</si>
  <si>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</si>
  <si>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</si>
  <si>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</si>
  <si>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</si>
  <si>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</si>
  <si>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</si>
  <si>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</si>
  <si>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</si>
  <si>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</si>
  <si>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</si>
  <si>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</si>
  <si>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</si>
  <si>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</si>
  <si>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</si>
  <si>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</si>
  <si>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</si>
  <si>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</si>
  <si>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</si>
  <si>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</si>
  <si>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</si>
  <si>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</si>
  <si>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</si>
  <si>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</si>
  <si>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</si>
  <si>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</si>
  <si>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</si>
  <si>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</si>
  <si>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</si>
  <si>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</si>
  <si>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</si>
  <si>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</si>
  <si>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</si>
  <si>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</si>
  <si>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</si>
  <si>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</si>
  <si>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</si>
  <si>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</si>
  <si>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</si>
  <si>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</si>
  <si>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</si>
  <si>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</si>
  <si>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</si>
  <si>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</si>
  <si>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</si>
  <si>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</si>
  <si>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</si>
  <si>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</si>
  <si>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</si>
  <si>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</si>
  <si>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</si>
  <si>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</si>
  <si>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</si>
  <si>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</si>
  <si>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</si>
  <si>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</si>
  <si>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</si>
  <si>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</si>
  <si>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</si>
  <si>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</si>
  <si>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</si>
  <si>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</si>
  <si>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</si>
  <si>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</si>
  <si>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</si>
  <si>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</si>
  <si>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</si>
  <si>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</si>
  <si>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</si>
  <si>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</si>
  <si>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</si>
  <si>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</si>
  <si>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</si>
  <si>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</si>
  <si>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</si>
  <si>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</si>
  <si>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</si>
  <si>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</si>
  <si>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</si>
  <si>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</si>
  <si>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</si>
  <si>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</si>
  <si>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</si>
  <si>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</si>
  <si>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</si>
  <si>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</si>
  <si>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</si>
  <si>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</si>
  <si>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</si>
  <si>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</si>
  <si>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</si>
  <si>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</si>
  <si>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</si>
  <si>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</si>
  <si>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</si>
  <si>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</si>
  <si>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</si>
  <si>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</si>
  <si>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</si>
  <si>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</si>
  <si>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</si>
  <si>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</si>
  <si>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</si>
  <si>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</si>
  <si>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</si>
  <si>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</si>
  <si>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</si>
  <si>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</si>
  <si>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</si>
  <si>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</si>
  <si>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</si>
  <si>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</si>
  <si>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</si>
  <si>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</si>
  <si>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</si>
  <si>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</si>
  <si>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</si>
  <si>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</si>
  <si>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</si>
  <si>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</si>
  <si>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</si>
  <si>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</si>
  <si>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</si>
  <si>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</si>
  <si>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</si>
  <si>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</si>
  <si>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</si>
  <si>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</si>
  <si>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</si>
  <si>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</si>
  <si>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</si>
  <si>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</si>
  <si>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</si>
  <si>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</si>
  <si>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</si>
  <si>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</si>
  <si>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</si>
  <si>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</si>
  <si>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</si>
  <si>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</si>
  <si>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</si>
  <si>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</si>
  <si>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</si>
  <si>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</si>
  <si>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</si>
  <si>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</si>
  <si>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</si>
  <si>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</si>
  <si>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</si>
  <si>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</si>
  <si>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</si>
  <si>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</si>
  <si>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</si>
  <si>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</si>
  <si>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</si>
  <si>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</si>
  <si>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</si>
  <si>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</si>
  <si>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</si>
  <si>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</si>
  <si>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</si>
  <si>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</si>
  <si>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</si>
  <si>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</si>
  <si>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</si>
  <si>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</si>
  <si>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</si>
  <si>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</si>
  <si>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</si>
  <si>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</si>
  <si>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</si>
  <si>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</si>
  <si>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</si>
  <si>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</si>
  <si>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</si>
  <si>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</si>
  <si>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</si>
  <si>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</si>
  <si>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</si>
  <si>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</si>
  <si>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</si>
  <si>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</si>
  <si>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</si>
  <si>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</si>
  <si>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</si>
  <si>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</si>
  <si>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</si>
  <si>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</si>
  <si>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</si>
  <si>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</si>
  <si>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</si>
  <si>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</si>
  <si>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</si>
  <si>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</si>
  <si>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</si>
  <si>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</si>
  <si>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</si>
  <si>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</si>
  <si>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</si>
  <si>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</si>
  <si>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</si>
  <si>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</si>
  <si>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</si>
  <si>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</si>
  <si>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</si>
  <si>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</si>
  <si>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</si>
  <si>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</si>
  <si>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</si>
  <si>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</si>
  <si>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</si>
  <si>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</si>
  <si>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</si>
  <si>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</si>
  <si>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</si>
  <si>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</si>
  <si>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</si>
  <si>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</si>
  <si>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</si>
  <si>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</si>
  <si>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</si>
  <si>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</si>
  <si>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</si>
  <si>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</si>
  <si>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</si>
  <si>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</si>
  <si>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</si>
  <si>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</si>
  <si>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</si>
  <si>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</si>
  <si>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</si>
  <si>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</si>
  <si>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</si>
  <si>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</si>
  <si>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</si>
  <si>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</si>
  <si>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</si>
  <si>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</si>
  <si>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</si>
  <si>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</si>
  <si>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</si>
  <si>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</si>
  <si>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</si>
  <si>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</si>
  <si>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</si>
  <si>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</si>
  <si>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</si>
  <si>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</si>
  <si>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</si>
  <si>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</si>
  <si>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</si>
  <si>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</si>
  <si>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</si>
  <si>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</si>
  <si>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</si>
  <si>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</si>
  <si>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</si>
  <si>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</si>
  <si>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</si>
  <si>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</si>
  <si>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</si>
  <si>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</si>
  <si>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</si>
  <si>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</si>
  <si>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</si>
  <si>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</si>
  <si>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</si>
  <si>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</si>
  <si>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</si>
  <si>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</si>
  <si>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</si>
  <si>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</si>
  <si>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</si>
  <si>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</si>
  <si>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</si>
  <si>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</si>
  <si>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</si>
  <si>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</si>
  <si>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</si>
  <si>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</si>
  <si>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</si>
  <si>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</si>
  <si>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</si>
  <si>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</si>
  <si>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</si>
  <si>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</si>
  <si>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</si>
  <si>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</si>
  <si>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</si>
  <si>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</si>
  <si>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</si>
  <si>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</si>
  <si>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</si>
  <si>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</si>
  <si>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</si>
  <si>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</si>
  <si>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</si>
  <si>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</si>
  <si>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</si>
  <si>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</si>
  <si>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</si>
  <si>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</si>
  <si>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</si>
  <si>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</si>
  <si>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</si>
  <si>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</si>
  <si>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</si>
  <si>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</si>
  <si>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</si>
  <si>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</si>
  <si>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</si>
  <si>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</si>
  <si>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</si>
  <si>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</si>
  <si>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</si>
  <si>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</si>
  <si>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</si>
  <si>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</si>
  <si>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</si>
  <si>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</si>
  <si>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</si>
  <si>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</si>
  <si>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</si>
  <si>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</si>
  <si>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</si>
  <si>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</si>
  <si>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</si>
  <si>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</si>
  <si>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</si>
  <si>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</si>
  <si>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</si>
  <si>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</si>
  <si>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</si>
  <si>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</si>
  <si>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</si>
  <si>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</si>
  <si>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</si>
  <si>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</si>
  <si>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</si>
  <si>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</si>
  <si>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</si>
  <si>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</si>
  <si>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</si>
  <si>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</si>
  <si>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</si>
  <si>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</si>
  <si>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</si>
  <si>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</si>
  <si>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</si>
  <si>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</si>
  <si>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</si>
  <si>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</si>
  <si>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</si>
  <si>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</si>
  <si>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</si>
  <si>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</si>
  <si>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</si>
  <si>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</si>
  <si>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</si>
  <si>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</si>
  <si>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</si>
  <si>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</si>
  <si>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</si>
  <si>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</si>
  <si>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</si>
  <si>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</si>
  <si>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</si>
  <si>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</si>
  <si>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</si>
  <si>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</si>
  <si>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</si>
  <si>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</si>
  <si>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</si>
  <si>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</si>
  <si>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</si>
  <si>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</si>
  <si>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</si>
  <si>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</si>
  <si>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</si>
  <si>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</si>
  <si>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</si>
  <si>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</si>
  <si>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</si>
  <si>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</si>
  <si>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</si>
  <si>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</si>
  <si>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</si>
  <si>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</si>
  <si>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</si>
  <si>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</si>
  <si>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</si>
  <si>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</si>
  <si>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</si>
  <si>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</si>
  <si>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</si>
  <si>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</si>
  <si>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</si>
  <si>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</si>
  <si>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</si>
  <si>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</si>
  <si>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</si>
  <si>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</si>
  <si>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</si>
  <si>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</si>
  <si>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</si>
  <si>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</si>
  <si>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</si>
  <si>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</si>
  <si>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</si>
  <si>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</si>
  <si>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</si>
  <si>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</si>
  <si>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</si>
  <si>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</si>
  <si>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</si>
  <si>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</si>
  <si>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</si>
  <si>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</si>
  <si>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</si>
  <si>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</si>
  <si>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</si>
  <si>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</si>
  <si>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</si>
  <si>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</si>
  <si>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</si>
  <si>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</si>
  <si>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</si>
  <si>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</si>
  <si>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</si>
  <si>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</si>
  <si>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</si>
  <si>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</si>
  <si>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</si>
  <si>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</si>
  <si>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</si>
  <si>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</si>
  <si>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</si>
  <si>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</si>
  <si>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</si>
  <si>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</si>
  <si>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</si>
  <si>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</si>
  <si>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</si>
  <si>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</si>
  <si>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</si>
  <si>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</si>
  <si>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</si>
  <si>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</si>
  <si>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</si>
  <si>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</si>
  <si>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</si>
  <si>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</si>
  <si>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</si>
  <si>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</si>
  <si>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</si>
  <si>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</si>
  <si>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</si>
  <si>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</si>
  <si>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</si>
  <si>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</si>
  <si>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</si>
  <si>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</si>
  <si>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</si>
  <si>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</si>
  <si>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</si>
  <si>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</si>
  <si>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</si>
  <si>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</si>
  <si>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</si>
  <si>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</si>
  <si>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</si>
  <si>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</si>
  <si>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</si>
  <si>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</si>
  <si>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</si>
  <si>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</si>
  <si>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</si>
  <si>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</si>
  <si>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</si>
  <si>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</si>
  <si>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</si>
  <si>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</si>
  <si>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</si>
  <si>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</si>
  <si>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</si>
  <si>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</si>
  <si>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</si>
  <si>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</si>
  <si>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</si>
  <si>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</si>
  <si>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</si>
  <si>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</si>
  <si>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</si>
  <si>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</si>
  <si>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</si>
  <si>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</si>
  <si>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</si>
  <si>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</si>
  <si>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</si>
  <si>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</si>
  <si>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</si>
  <si>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</si>
  <si>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</si>
  <si>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</si>
  <si>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</si>
  <si>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</si>
  <si>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</si>
  <si>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</si>
  <si>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</si>
  <si>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</si>
  <si>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</si>
  <si>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</si>
  <si>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</si>
  <si>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</si>
  <si>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</si>
  <si>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</si>
  <si>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</si>
  <si>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</si>
  <si>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</si>
  <si>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</si>
  <si>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</si>
  <si>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</si>
  <si>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</si>
  <si>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</si>
  <si>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</si>
  <si>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</si>
  <si>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</si>
  <si>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</si>
  <si>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</si>
  <si>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</si>
  <si>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</si>
  <si>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</si>
  <si>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</si>
  <si>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</si>
  <si>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</si>
  <si>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</si>
  <si>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</si>
  <si>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</si>
  <si>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</si>
  <si>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</si>
  <si>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</si>
  <si>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</si>
  <si>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</si>
  <si>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</si>
  <si>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</si>
  <si>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</si>
  <si>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</si>
  <si>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</si>
  <si>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</si>
  <si>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</si>
  <si>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</si>
  <si>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</si>
  <si>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</si>
  <si>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</si>
  <si>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</si>
  <si>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</si>
  <si>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</si>
  <si>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</si>
  <si>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</si>
  <si>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</si>
  <si>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</si>
  <si>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</si>
  <si>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</si>
  <si>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</si>
  <si>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</si>
  <si>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</si>
  <si>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</si>
  <si>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</si>
  <si>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</si>
  <si>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</si>
  <si>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</si>
  <si>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</si>
  <si>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</si>
  <si>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</si>
  <si>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</si>
  <si>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</si>
  <si>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</si>
  <si>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</si>
  <si>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</si>
  <si>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</si>
  <si>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</si>
  <si>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</si>
  <si>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</si>
  <si>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</si>
  <si>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</si>
  <si>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</si>
  <si>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</si>
  <si>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</si>
  <si>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</si>
  <si>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</si>
  <si>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</si>
  <si>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</si>
  <si>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</si>
  <si>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</si>
  <si>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</si>
  <si>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</si>
  <si>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</si>
  <si>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</si>
  <si>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</si>
  <si>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</si>
  <si>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</si>
  <si>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</si>
  <si>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</si>
  <si>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</si>
  <si>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</si>
  <si>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</si>
  <si>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</si>
  <si>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</si>
  <si>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</si>
  <si>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</si>
  <si>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</si>
  <si>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</si>
  <si>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</si>
  <si>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</si>
  <si>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</si>
  <si>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</si>
  <si>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</si>
  <si>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</si>
  <si>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</si>
  <si>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</si>
  <si>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</si>
  <si>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</si>
  <si>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</si>
  <si>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</si>
  <si>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</si>
  <si>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</si>
  <si>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</si>
  <si>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</si>
  <si>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</si>
  <si>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</si>
  <si>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</si>
  <si>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</si>
  <si>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</si>
  <si>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</si>
  <si>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</si>
  <si>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</si>
  <si>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</si>
  <si>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</si>
  <si>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</si>
  <si>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</si>
  <si>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</si>
  <si>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</si>
  <si>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</si>
  <si>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</si>
  <si>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</si>
  <si>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</si>
  <si>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</si>
  <si>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</si>
  <si>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</si>
  <si>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</si>
  <si>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</si>
  <si>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</si>
  <si>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</si>
  <si>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</si>
  <si>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</si>
  <si>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</si>
  <si>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</si>
  <si>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</si>
  <si>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</si>
  <si>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</si>
  <si>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</si>
  <si>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</si>
  <si>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</si>
  <si>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</si>
  <si>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</si>
  <si>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</si>
  <si>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</si>
  <si>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</si>
  <si>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</si>
  <si>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</si>
  <si>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</si>
  <si>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</si>
  <si>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</si>
  <si>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</si>
  <si>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</si>
  <si>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</si>
  <si>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</si>
  <si>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</si>
  <si>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</si>
  <si>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</si>
  <si>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</si>
  <si>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</si>
  <si>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</si>
  <si>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</si>
  <si>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</si>
  <si>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</si>
  <si>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</si>
  <si>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</si>
  <si>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</si>
  <si>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</si>
  <si>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</si>
  <si>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</si>
  <si>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</si>
  <si>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</si>
  <si>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</si>
  <si>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</si>
  <si>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</si>
  <si>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</si>
  <si>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</si>
  <si>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</si>
  <si>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</si>
  <si>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</si>
  <si>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</si>
  <si>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</si>
  <si>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</si>
  <si>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</si>
  <si>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</si>
  <si>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</si>
  <si>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</si>
  <si>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</si>
  <si>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</si>
  <si>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</si>
  <si>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</si>
  <si>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</si>
  <si>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</si>
  <si>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</si>
  <si>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</si>
  <si>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</si>
  <si>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</si>
  <si>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</si>
  <si>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</si>
  <si>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</si>
  <si>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</si>
  <si>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</si>
  <si>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</si>
  <si>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</si>
  <si>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</si>
  <si>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</si>
  <si>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</si>
  <si>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</si>
  <si>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</si>
  <si>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</si>
  <si>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</si>
  <si>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</si>
  <si>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</si>
  <si>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</si>
  <si>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</si>
  <si>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</si>
  <si>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</si>
  <si>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</si>
  <si>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</si>
  <si>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</si>
  <si>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</si>
  <si>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</si>
  <si>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</si>
  <si>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</si>
  <si>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</si>
  <si>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</si>
  <si>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</si>
  <si>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</si>
  <si>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</si>
  <si>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</si>
  <si>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</si>
  <si>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</si>
  <si>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</si>
  <si>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</si>
  <si>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</si>
  <si>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</si>
  <si>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</si>
  <si>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</si>
  <si>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</si>
  <si>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</si>
  <si>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</si>
  <si>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</si>
  <si>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</si>
  <si>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</si>
  <si>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</si>
  <si>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</si>
  <si>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</si>
  <si>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</si>
  <si>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</si>
  <si>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</si>
  <si>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</si>
  <si>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</si>
  <si>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</si>
  <si>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</si>
  <si>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</si>
  <si>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</si>
  <si>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</si>
  <si>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</si>
  <si>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</si>
  <si>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</si>
  <si>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</si>
  <si>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</si>
  <si>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</si>
  <si>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</si>
  <si>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</si>
  <si>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</si>
  <si>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</si>
  <si>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</si>
  <si>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</si>
  <si>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</si>
  <si>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</si>
  <si>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</si>
  <si>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</si>
  <si>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</si>
  <si>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</si>
  <si>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</si>
  <si>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</si>
  <si>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</si>
  <si>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</si>
  <si>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</si>
  <si>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</si>
  <si>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</si>
  <si>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</si>
  <si>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</si>
  <si>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</si>
  <si>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</si>
  <si>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</si>
  <si>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</si>
  <si>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</si>
  <si>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</si>
  <si>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</si>
  <si>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</si>
  <si>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</si>
  <si>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</si>
  <si>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</si>
  <si>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</si>
  <si>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</si>
  <si>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</si>
  <si>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</si>
  <si>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</si>
  <si>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</si>
  <si>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</si>
  <si>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</si>
  <si>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</si>
  <si>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</si>
  <si>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</si>
  <si>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</si>
  <si>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</si>
  <si>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</si>
  <si>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</si>
  <si>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</si>
  <si>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</si>
  <si>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</si>
  <si>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</si>
  <si>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</si>
  <si>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</si>
  <si>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</si>
  <si>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</si>
  <si>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</si>
  <si>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</si>
  <si>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</si>
  <si>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</si>
  <si>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</si>
  <si>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</si>
  <si>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</si>
  <si>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</si>
  <si>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</si>
  <si>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</si>
  <si>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</si>
  <si>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</si>
  <si>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</si>
  <si>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</si>
  <si>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</si>
  <si>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</si>
  <si>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</si>
  <si>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</si>
  <si>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</si>
  <si>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</si>
  <si>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</si>
  <si>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</si>
  <si>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</si>
  <si>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</si>
  <si>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</si>
  <si>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</si>
  <si>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</si>
  <si>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</si>
  <si>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</si>
  <si>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</si>
  <si>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</si>
  <si>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</si>
  <si>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</si>
  <si>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</si>
  <si>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</si>
  <si>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</si>
  <si>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</si>
  <si>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</si>
  <si>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</si>
  <si>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</si>
  <si>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</si>
  <si>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</si>
  <si>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</si>
  <si>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</si>
  <si>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</si>
  <si>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</si>
  <si>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</si>
  <si>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</si>
  <si>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</si>
  <si>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</si>
  <si>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</si>
  <si>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</si>
  <si>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</si>
  <si>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</si>
  <si>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</si>
  <si>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</si>
  <si>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</si>
  <si>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</si>
  <si>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</si>
  <si>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</si>
  <si>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</si>
  <si>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</si>
  <si>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</si>
  <si>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</si>
  <si>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</si>
  <si>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</si>
  <si>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</si>
  <si>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</si>
  <si>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</si>
  <si>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</si>
  <si>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</si>
  <si>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</si>
  <si>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</si>
  <si>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</si>
  <si>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</si>
  <si>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</si>
  <si>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</si>
  <si>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</si>
  <si>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</si>
  <si>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</si>
  <si>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</si>
  <si>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</si>
  <si>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</si>
  <si>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</si>
  <si>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</si>
  <si>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</si>
  <si>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</si>
  <si>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</si>
  <si>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</si>
  <si>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</si>
  <si>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</si>
  <si>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</si>
  <si>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</si>
  <si>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</si>
  <si>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</si>
  <si>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</si>
  <si>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</si>
  <si>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</si>
  <si>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</si>
  <si>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</si>
  <si>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</si>
  <si>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</si>
  <si>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</si>
  <si>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</si>
  <si>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</si>
  <si>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</si>
  <si>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</si>
  <si>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</si>
  <si>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</si>
  <si>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</si>
  <si>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</si>
  <si>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</si>
  <si>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</si>
  <si>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</si>
  <si>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</si>
  <si>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</si>
  <si>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</si>
  <si>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</si>
  <si>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</si>
  <si>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</si>
  <si>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</si>
  <si>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</si>
  <si>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</si>
  <si>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</si>
  <si>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</si>
  <si>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</si>
  <si>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</si>
  <si>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</si>
  <si>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</si>
  <si>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</si>
  <si>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</si>
  <si>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</si>
  <si>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</si>
  <si>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</si>
  <si>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</si>
  <si>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</si>
  <si>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</si>
  <si>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</si>
  <si>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</si>
  <si>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</si>
  <si>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</si>
  <si>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</si>
  <si>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</si>
  <si>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</si>
  <si>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</si>
  <si>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</si>
  <si>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</si>
  <si>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</si>
  <si>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</si>
  <si>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</si>
  <si>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</si>
  <si>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</si>
  <si>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</si>
  <si>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</si>
  <si>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</si>
  <si>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</si>
  <si>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</si>
  <si>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</si>
  <si>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</si>
  <si>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</si>
  <si>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</si>
  <si>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</si>
  <si>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</si>
  <si>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</si>
  <si>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</si>
  <si>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</si>
  <si>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</si>
  <si>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</si>
  <si>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</si>
  <si>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</si>
  <si>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</si>
  <si>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</si>
  <si>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</si>
  <si>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</si>
  <si>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</si>
  <si>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</si>
  <si>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</si>
  <si>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</si>
  <si>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</si>
  <si>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</si>
  <si>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</si>
  <si>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</si>
  <si>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</si>
  <si>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</si>
  <si>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</si>
  <si>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</si>
  <si>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</si>
  <si>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</si>
  <si>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</si>
  <si>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</si>
  <si>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</si>
  <si>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</si>
  <si>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</si>
  <si>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</si>
  <si>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</si>
  <si>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</si>
  <si>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</si>
  <si>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</si>
  <si>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</si>
  <si>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</si>
  <si>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</si>
  <si>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</si>
  <si>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</si>
  <si>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</si>
  <si>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</si>
  <si>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</si>
  <si>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</si>
  <si>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</si>
  <si>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</si>
  <si>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</si>
  <si>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</si>
  <si>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</si>
  <si>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</si>
  <si>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</si>
  <si>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</si>
  <si>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</si>
  <si>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</si>
  <si>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</si>
  <si>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</si>
  <si>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</si>
  <si>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</si>
  <si>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</si>
  <si>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</si>
  <si>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</si>
  <si>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</si>
  <si>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</si>
  <si>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</si>
  <si>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</si>
  <si>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</si>
  <si>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</si>
  <si>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</si>
  <si>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</si>
  <si>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</si>
  <si>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</si>
  <si>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</si>
  <si>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</si>
  <si>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</si>
  <si>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</si>
  <si>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</si>
  <si>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</si>
  <si>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</si>
  <si>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</si>
  <si>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</si>
  <si>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</si>
  <si>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</si>
  <si>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</si>
  <si>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</si>
  <si>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</si>
  <si>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</si>
  <si>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</si>
  <si>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</si>
  <si>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</si>
  <si>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</si>
  <si>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</si>
  <si>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</si>
  <si>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</si>
  <si>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</si>
  <si>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</si>
  <si>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</si>
  <si>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</si>
  <si>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</si>
  <si>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</si>
  <si>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</si>
  <si>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</si>
  <si>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</si>
  <si>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</si>
  <si>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</si>
  <si>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</si>
  <si>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</si>
  <si>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</si>
  <si>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</si>
  <si>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</si>
  <si>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</si>
  <si>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</si>
  <si>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</si>
  <si>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</si>
  <si>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</si>
  <si>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</si>
  <si>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</si>
  <si>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</si>
  <si>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</si>
  <si>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</si>
  <si>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</si>
  <si>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</si>
  <si>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</si>
  <si>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</si>
  <si>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</si>
  <si>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</si>
  <si>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</si>
  <si>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</si>
  <si>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</si>
  <si>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</si>
  <si>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</si>
  <si>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</si>
  <si>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</si>
  <si>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</si>
  <si>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</si>
  <si>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</si>
  <si>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</si>
  <si>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</si>
  <si>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</si>
  <si>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</si>
  <si>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</si>
  <si>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</si>
  <si>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</si>
  <si>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</si>
  <si>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</si>
  <si>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</si>
  <si>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</si>
  <si>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</si>
  <si>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</si>
  <si>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</si>
  <si>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</si>
  <si>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</si>
  <si>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</si>
  <si>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</si>
  <si>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</si>
  <si>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</si>
  <si>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</si>
  <si>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</si>
  <si>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</si>
  <si>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</si>
  <si>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</si>
  <si>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</si>
  <si>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</si>
  <si>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</si>
  <si>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</si>
  <si>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</si>
  <si>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</si>
  <si>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</si>
  <si>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</si>
  <si>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</si>
  <si>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</si>
  <si>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</si>
  <si>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</si>
  <si>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</si>
  <si>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</si>
  <si>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</si>
  <si>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</si>
  <si>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</si>
  <si>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</si>
  <si>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</si>
  <si>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</si>
  <si>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</si>
  <si>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</si>
  <si>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</si>
  <si>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</si>
  <si>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</si>
  <si>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</si>
  <si>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</si>
  <si>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</si>
  <si>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</si>
  <si>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</si>
  <si>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</si>
  <si>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</si>
  <si>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</si>
  <si>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</si>
  <si>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</si>
  <si>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</si>
  <si>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</si>
  <si>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</si>
  <si>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</si>
  <si>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</si>
  <si>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</si>
  <si>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</si>
  <si>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</si>
  <si>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</si>
  <si>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</si>
  <si>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</si>
  <si>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</si>
  <si>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</si>
  <si>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</si>
  <si>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</si>
  <si>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</si>
  <si>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</si>
  <si>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</si>
  <si>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</si>
  <si>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</si>
  <si>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</si>
  <si>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</si>
  <si>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</si>
  <si>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</si>
  <si>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</si>
  <si>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</si>
  <si>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</si>
  <si>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</si>
  <si>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</si>
  <si>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</si>
  <si>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</si>
  <si>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</si>
  <si>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</si>
  <si>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</si>
  <si>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</si>
  <si>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</si>
  <si>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</si>
  <si>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</si>
  <si>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</si>
  <si>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</si>
  <si>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</si>
  <si>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</si>
  <si>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</si>
  <si>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</si>
  <si>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</si>
  <si>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</si>
  <si>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</si>
  <si>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</si>
  <si>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</si>
  <si>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</si>
  <si>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</si>
  <si>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</si>
  <si>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</si>
  <si>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</si>
  <si>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</si>
  <si>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</si>
  <si>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</si>
  <si>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</si>
  <si>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</si>
  <si>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</si>
  <si>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</si>
  <si>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</si>
  <si>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</si>
  <si>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</si>
  <si>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</si>
  <si>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</si>
  <si>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</si>
  <si>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</si>
  <si>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</si>
  <si>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</si>
  <si>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</si>
  <si>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</si>
  <si>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</si>
  <si>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</si>
  <si>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</si>
  <si>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</si>
  <si>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</si>
  <si>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</si>
  <si>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</si>
  <si>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</si>
  <si>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</si>
  <si>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</si>
  <si>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</si>
  <si>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</si>
  <si>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</si>
  <si>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</si>
  <si>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</si>
  <si>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</si>
  <si>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</si>
  <si>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</si>
  <si>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</si>
  <si>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</si>
  <si>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</si>
  <si>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</si>
  <si>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</si>
  <si>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</si>
  <si>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</si>
  <si>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</si>
  <si>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</si>
  <si>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</si>
  <si>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</si>
  <si>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</si>
  <si>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</si>
  <si>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</si>
  <si>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</si>
  <si>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</si>
  <si>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</si>
  <si>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</si>
  <si>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</si>
  <si>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</si>
  <si>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</si>
  <si>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</si>
  <si>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</si>
  <si>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</si>
  <si>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</si>
  <si>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</si>
  <si>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</si>
  <si>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</si>
  <si>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</si>
  <si>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</si>
  <si>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</si>
  <si>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</si>
  <si>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</si>
  <si>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</si>
  <si>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</si>
  <si>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</si>
  <si>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</si>
  <si>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</si>
  <si>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</si>
  <si>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</si>
  <si>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</si>
  <si>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</si>
  <si>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</si>
  <si>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</si>
  <si>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</si>
  <si>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</si>
  <si>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</si>
  <si>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</si>
  <si>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</si>
  <si>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</si>
  <si>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</si>
  <si>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</si>
  <si>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</si>
  <si>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</si>
  <si>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</si>
  <si>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</si>
  <si>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</si>
  <si>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</si>
  <si>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</si>
  <si>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</si>
  <si>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</si>
  <si>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</si>
  <si>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</si>
  <si>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</si>
  <si>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</si>
  <si>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</si>
  <si>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</si>
  <si>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</si>
  <si>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</si>
  <si>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</si>
  <si>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</si>
  <si>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</si>
  <si>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</si>
  <si>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</si>
  <si>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</si>
  <si>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</si>
  <si>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</si>
  <si>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</si>
  <si>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</si>
  <si>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</si>
  <si>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</si>
  <si>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</si>
  <si>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</si>
  <si>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</si>
  <si>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</si>
  <si>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</si>
  <si>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</si>
  <si>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</si>
  <si>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</si>
  <si>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</si>
  <si>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</si>
  <si>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</si>
  <si>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</si>
  <si>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</si>
  <si>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</si>
  <si>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</si>
  <si>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</si>
  <si>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</si>
  <si>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</si>
  <si>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</si>
  <si>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</si>
  <si>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</si>
  <si>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</si>
  <si>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</si>
  <si>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</si>
  <si>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</si>
  <si>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</si>
  <si>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</si>
  <si>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</si>
  <si>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</si>
  <si>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</si>
  <si>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</si>
  <si>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</si>
  <si>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</si>
  <si>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</si>
  <si>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</si>
  <si>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</si>
  <si>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</si>
  <si>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</si>
  <si>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</si>
  <si>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</si>
  <si>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</si>
  <si>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</si>
  <si>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</si>
  <si>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</si>
  <si>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</si>
  <si>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</si>
  <si>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</si>
  <si>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</si>
  <si>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</si>
  <si>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</si>
  <si>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</si>
  <si>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</si>
  <si>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</si>
  <si>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</si>
  <si>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</si>
  <si>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</si>
  <si>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</si>
  <si>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</si>
  <si>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</si>
  <si>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</si>
  <si>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</si>
  <si>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</si>
  <si>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</si>
  <si>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</si>
  <si>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</si>
  <si>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</si>
  <si>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</si>
  <si>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</si>
  <si>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</si>
  <si>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</si>
  <si>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</si>
  <si>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</si>
  <si>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</si>
  <si>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</si>
  <si>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</si>
  <si>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</si>
  <si>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</si>
  <si>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</si>
  <si>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</si>
  <si>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</si>
  <si>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</si>
  <si>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</si>
  <si>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</si>
  <si>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</si>
  <si>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</si>
  <si>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</si>
  <si>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</si>
  <si>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</si>
  <si>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</si>
  <si>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</si>
  <si>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</si>
  <si>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</si>
  <si>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</si>
  <si>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</si>
  <si>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</si>
  <si>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</si>
  <si>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</si>
  <si>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</si>
  <si>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</si>
  <si>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</si>
  <si>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</si>
  <si>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</si>
  <si>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</si>
  <si>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</si>
  <si>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</si>
  <si>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</si>
  <si>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</si>
  <si>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</si>
  <si>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</si>
  <si>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</si>
  <si>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</si>
  <si>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</si>
  <si>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</si>
  <si>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</si>
  <si>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</si>
  <si>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</si>
  <si>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</si>
  <si>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</si>
  <si>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</si>
  <si>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</si>
  <si>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</si>
  <si>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</si>
  <si>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</si>
  <si>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</si>
  <si>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</si>
  <si>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</si>
  <si>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</si>
  <si>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</si>
  <si>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</si>
  <si>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</si>
  <si>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</si>
  <si>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</si>
  <si>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</si>
  <si>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</si>
  <si>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</si>
  <si>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</si>
  <si>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</si>
  <si>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</si>
  <si>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</si>
  <si>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</si>
  <si>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</si>
  <si>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</si>
  <si>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</si>
  <si>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</si>
  <si>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</si>
  <si>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</si>
  <si>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</si>
  <si>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</si>
  <si>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</si>
  <si>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</si>
  <si>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</si>
  <si>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</si>
  <si>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</si>
  <si>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</si>
  <si>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</si>
  <si>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</si>
  <si>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</si>
  <si>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</si>
  <si>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</si>
  <si>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</si>
  <si>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</si>
  <si>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</si>
  <si>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</si>
  <si>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</si>
  <si>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</si>
  <si>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</si>
  <si>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</si>
  <si>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</si>
  <si>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</si>
  <si>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</si>
  <si>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</si>
  <si>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</si>
  <si>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</si>
  <si>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</si>
  <si>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</si>
  <si>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</si>
  <si>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</si>
  <si>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</si>
  <si>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</si>
  <si>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</si>
  <si>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</si>
  <si>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</si>
  <si>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</si>
  <si>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</si>
  <si>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</si>
  <si>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</si>
  <si>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</si>
  <si>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</si>
  <si>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</si>
  <si>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</si>
  <si>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</si>
  <si>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</si>
  <si>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</si>
  <si>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</si>
  <si>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</si>
  <si>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</si>
  <si>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</si>
  <si>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</si>
  <si>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</si>
  <si>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</si>
  <si>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</si>
  <si>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</si>
  <si>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</si>
  <si>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</si>
  <si>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</si>
  <si>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</si>
  <si>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</si>
  <si>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</si>
  <si>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</si>
  <si>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</si>
  <si>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</si>
  <si>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</si>
  <si>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</si>
  <si>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</si>
  <si>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</si>
  <si>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</si>
  <si>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</si>
  <si>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</si>
  <si>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</si>
  <si>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</si>
  <si>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</si>
  <si>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</si>
  <si>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</si>
  <si>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</si>
  <si>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</si>
  <si>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</si>
  <si>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</si>
  <si>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</si>
  <si>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</si>
  <si>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</si>
  <si>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</si>
  <si>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</si>
  <si>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</si>
  <si>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</si>
  <si>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</si>
  <si>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</si>
  <si>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</si>
  <si>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</si>
  <si>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</si>
  <si>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</si>
  <si>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</si>
  <si>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</si>
  <si>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</si>
  <si>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</si>
  <si>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</si>
  <si>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</si>
  <si>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</si>
  <si>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</si>
  <si>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</si>
  <si>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</si>
  <si>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</si>
  <si>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</si>
  <si>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</si>
  <si>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</si>
  <si>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</si>
  <si>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</si>
  <si>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</si>
  <si>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</si>
  <si>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</si>
  <si>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</si>
  <si>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</si>
  <si>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</si>
  <si>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</si>
  <si>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</si>
  <si>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</si>
  <si>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</si>
  <si>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</si>
  <si>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</si>
  <si>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</si>
  <si>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</si>
  <si>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</si>
  <si>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</si>
  <si>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</si>
  <si>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</si>
  <si>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</si>
  <si>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</si>
  <si>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</si>
  <si>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</si>
  <si>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</si>
  <si>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</si>
  <si>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</si>
  <si>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</si>
  <si>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</si>
  <si>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</si>
  <si>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</si>
  <si>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</si>
  <si>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</si>
  <si>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</si>
  <si>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</si>
  <si>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</si>
  <si>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</si>
  <si>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</si>
  <si>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</si>
  <si>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</si>
  <si>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</si>
  <si>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</si>
  <si>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</si>
  <si>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</si>
  <si>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</si>
  <si>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</si>
  <si>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</si>
  <si>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</si>
  <si>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</si>
  <si>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</si>
  <si>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</si>
  <si>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</si>
  <si>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</si>
  <si>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</si>
  <si>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</si>
  <si>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</si>
  <si>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</si>
  <si>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</si>
  <si>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</si>
  <si>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</si>
  <si>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</si>
  <si>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</si>
  <si>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</si>
  <si>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</si>
  <si>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</si>
  <si>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</si>
  <si>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</si>
  <si>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</si>
  <si>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</si>
  <si>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</si>
  <si>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</si>
  <si>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</si>
  <si>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</si>
  <si>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</si>
  <si>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</si>
  <si>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</si>
  <si>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</si>
  <si>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</si>
  <si>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</si>
  <si>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</si>
  <si>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</si>
  <si>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</si>
  <si>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</si>
  <si>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</si>
  <si>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</si>
  <si>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</si>
  <si>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</si>
  <si>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</si>
  <si>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</si>
  <si>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</si>
  <si>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</si>
  <si>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</si>
  <si>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</si>
  <si>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</si>
  <si>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</si>
  <si>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</si>
  <si>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</si>
  <si>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</si>
  <si>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</si>
  <si>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</si>
  <si>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</si>
  <si>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</si>
  <si>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</si>
  <si>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</si>
  <si>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</si>
  <si>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</si>
  <si>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</si>
  <si>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</si>
  <si>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</si>
  <si>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</si>
  <si>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</si>
  <si>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</si>
  <si>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</si>
  <si>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</si>
  <si>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</si>
  <si>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</si>
  <si>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</si>
  <si>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</si>
  <si>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</si>
  <si>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</si>
  <si>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</si>
  <si>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</si>
  <si>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</si>
  <si>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</si>
  <si>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</si>
  <si>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</si>
  <si>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</si>
  <si>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</si>
  <si>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</si>
  <si>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</si>
  <si>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</si>
  <si>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</si>
  <si>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</si>
  <si>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</si>
  <si>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</si>
  <si>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</si>
  <si>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</si>
  <si>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</si>
  <si>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</si>
  <si>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</si>
  <si>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</si>
  <si>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</si>
  <si>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</si>
  <si>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</si>
  <si>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</si>
  <si>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</si>
  <si>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</si>
  <si>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</si>
  <si>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</si>
  <si>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</si>
  <si>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</si>
  <si>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</si>
  <si>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</si>
  <si>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</si>
  <si>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</si>
  <si>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</si>
  <si>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</si>
  <si>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</si>
  <si>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</si>
  <si>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</si>
  <si>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</si>
  <si>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</si>
  <si>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</si>
  <si>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</si>
  <si>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</si>
  <si>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</si>
  <si>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</si>
  <si>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</si>
  <si>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</si>
  <si>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</si>
  <si>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</si>
  <si>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</si>
  <si>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</si>
  <si>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</si>
  <si>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</si>
  <si>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</si>
  <si>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</si>
  <si>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</si>
  <si>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</si>
  <si>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</si>
  <si>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</si>
  <si>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</si>
  <si>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</si>
  <si>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</si>
  <si>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</si>
  <si>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</si>
  <si>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</si>
  <si>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</si>
  <si>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</si>
  <si>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</si>
  <si>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</si>
  <si>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</si>
  <si>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</si>
  <si>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</si>
  <si>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</si>
  <si>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</si>
  <si>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</si>
  <si>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</si>
  <si>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</si>
  <si>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</si>
  <si>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</si>
  <si>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</si>
  <si>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</si>
  <si>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</si>
  <si>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</si>
  <si>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</si>
  <si>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</si>
  <si>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</si>
  <si>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</si>
  <si>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</si>
  <si>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</si>
  <si>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</si>
  <si>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</si>
  <si>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</si>
  <si>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</si>
  <si>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</si>
  <si>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</si>
  <si>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</si>
  <si>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</si>
  <si>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</si>
  <si>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</si>
  <si>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</si>
  <si>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</si>
  <si>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</si>
  <si>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</si>
  <si>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</si>
  <si>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</si>
  <si>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</si>
  <si>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</si>
  <si>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</si>
  <si>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</si>
  <si>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</si>
  <si>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</si>
  <si>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</si>
  <si>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</si>
  <si>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</si>
  <si>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</si>
  <si>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</si>
  <si>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</si>
  <si>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</si>
  <si>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</si>
  <si>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</si>
  <si>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</si>
  <si>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</si>
  <si>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</si>
  <si>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</si>
  <si>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</si>
  <si>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</si>
  <si>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</si>
  <si>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</si>
  <si>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</si>
  <si>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</si>
  <si>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</si>
  <si>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</si>
  <si>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</si>
  <si>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</si>
  <si>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</si>
  <si>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</si>
  <si>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</si>
  <si>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</si>
  <si>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</si>
  <si>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</si>
  <si>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</si>
  <si>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</si>
  <si>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</si>
  <si>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</si>
  <si>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</si>
  <si>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</si>
  <si>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</si>
  <si>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</si>
  <si>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</si>
  <si>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</si>
  <si>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</si>
  <si>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</si>
  <si>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</si>
  <si>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</si>
  <si>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</si>
  <si>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</si>
  <si>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</si>
  <si>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</si>
  <si>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</si>
  <si>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</si>
  <si>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</si>
  <si>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</si>
  <si>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</si>
  <si>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</si>
  <si>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</si>
  <si>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</si>
  <si>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</si>
  <si>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</si>
  <si>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</si>
  <si>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</si>
  <si>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</si>
  <si>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</si>
  <si>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</si>
  <si>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</si>
  <si>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</si>
  <si>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</si>
  <si>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</si>
  <si>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</si>
  <si>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</si>
  <si>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</si>
  <si>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</si>
  <si>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</si>
  <si>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</si>
  <si>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</si>
  <si>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</si>
  <si>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</si>
  <si>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</si>
  <si>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</si>
  <si>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</si>
  <si>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</si>
  <si>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</si>
  <si>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</si>
  <si>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</si>
  <si>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</si>
  <si>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</si>
  <si>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</si>
  <si>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</si>
  <si>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</si>
  <si>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</si>
  <si>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</si>
  <si>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</si>
  <si>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</si>
  <si>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</si>
  <si>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</si>
  <si>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</si>
  <si>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</si>
  <si>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</si>
  <si>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</si>
  <si>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</si>
  <si>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</si>
  <si>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</si>
  <si>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</si>
  <si>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</si>
  <si>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</si>
  <si>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</si>
  <si>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</si>
  <si>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</si>
  <si>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</si>
  <si>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</si>
  <si>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</si>
  <si>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</si>
  <si>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</si>
  <si>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</si>
  <si>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</si>
  <si>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</si>
  <si>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</si>
  <si>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</si>
  <si>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</si>
  <si>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</si>
  <si>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</si>
  <si>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</si>
  <si>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</si>
  <si>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</si>
  <si>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</si>
  <si>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</si>
  <si>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</si>
  <si>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</si>
  <si>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</si>
  <si>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</si>
  <si>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</si>
  <si>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</si>
  <si>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</si>
  <si>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</si>
  <si>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</si>
  <si>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</si>
  <si>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</si>
  <si>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</si>
  <si>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</si>
  <si>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</si>
  <si>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</si>
  <si>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</si>
  <si>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</si>
  <si>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</si>
  <si>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</si>
  <si>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</si>
  <si>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</si>
  <si>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</si>
  <si>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</si>
  <si>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</si>
  <si>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</si>
  <si>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</si>
  <si>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</si>
  <si>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</si>
  <si>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</si>
  <si>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</si>
  <si>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</si>
  <si>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</si>
  <si>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</si>
  <si>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</si>
  <si>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</si>
  <si>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</si>
  <si>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</si>
  <si>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</si>
  <si>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</si>
  <si>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</si>
  <si>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</si>
  <si>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</si>
  <si>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</si>
  <si>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</si>
  <si>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</si>
  <si>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</si>
  <si>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</si>
  <si>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</si>
  <si>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</si>
  <si>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</si>
  <si>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</si>
  <si>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</si>
  <si>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</si>
  <si>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</si>
  <si>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</si>
  <si>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</si>
  <si>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</si>
  <si>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</si>
  <si>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</si>
  <si>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</si>
  <si>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</si>
  <si>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</si>
  <si>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</si>
  <si>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</si>
  <si>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</si>
  <si>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</si>
  <si>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</si>
  <si>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</si>
  <si>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</si>
  <si>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</si>
  <si>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</si>
  <si>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</si>
  <si>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</si>
  <si>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</si>
  <si>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</si>
  <si>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</si>
  <si>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</si>
  <si>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</si>
  <si>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</si>
  <si>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</si>
  <si>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</si>
  <si>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</si>
  <si>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</si>
  <si>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</si>
  <si>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</si>
  <si>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</si>
  <si>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</si>
  <si>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</si>
  <si>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</si>
  <si>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</si>
  <si>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</si>
  <si>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</si>
  <si>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</si>
  <si>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</si>
  <si>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</si>
  <si>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</si>
  <si>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</si>
  <si>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</si>
  <si>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</si>
  <si>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</si>
  <si>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</si>
  <si>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</si>
  <si>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</si>
  <si>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</si>
  <si>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</si>
  <si>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</si>
  <si>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</si>
  <si>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</si>
  <si>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</si>
  <si>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</si>
  <si>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</si>
  <si>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</si>
  <si>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</si>
  <si>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</si>
  <si>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</si>
  <si>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</si>
  <si>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</si>
  <si>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</si>
  <si>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</si>
  <si>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</si>
  <si>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</si>
  <si>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</si>
  <si>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</si>
  <si>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</si>
  <si>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</si>
  <si>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</si>
  <si>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</si>
  <si>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</si>
  <si>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</si>
  <si>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</si>
  <si>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</si>
  <si>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</si>
  <si>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</si>
  <si>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</si>
  <si>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</si>
  <si>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</si>
  <si>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</si>
  <si>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</si>
  <si>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</si>
  <si>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</si>
  <si>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</si>
  <si>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</si>
  <si>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</si>
  <si>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</si>
  <si>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</si>
  <si>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</si>
  <si>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</si>
  <si>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</si>
  <si>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</si>
  <si>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</si>
  <si>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</si>
  <si>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</si>
  <si>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</si>
  <si>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</si>
  <si>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</si>
  <si>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</si>
  <si>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</si>
  <si>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</si>
  <si>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</si>
  <si>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</si>
  <si>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</si>
  <si>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</si>
  <si>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</si>
  <si>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</si>
  <si>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</si>
  <si>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</si>
  <si>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</si>
  <si>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</si>
  <si>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</si>
  <si>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</si>
  <si>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</si>
  <si>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</si>
  <si>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</si>
  <si>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</si>
  <si>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</si>
  <si>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</si>
  <si>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</si>
  <si>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</si>
  <si>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</si>
  <si>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</si>
  <si>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</si>
  <si>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</si>
  <si>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</si>
  <si>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</si>
  <si>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</si>
  <si>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</si>
  <si>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</si>
  <si>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</si>
  <si>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</si>
  <si>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</si>
  <si>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</si>
  <si>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</si>
  <si>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</si>
  <si>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</si>
  <si>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</si>
  <si>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</si>
  <si>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</si>
  <si>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</si>
  <si>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</si>
  <si>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</si>
  <si>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</si>
  <si>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</si>
  <si>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</si>
  <si>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</si>
  <si>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</si>
  <si>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</si>
  <si>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</si>
  <si>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</si>
  <si>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</si>
  <si>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</si>
  <si>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</si>
  <si>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</si>
  <si>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</si>
  <si>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</si>
  <si>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</si>
  <si>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</si>
  <si>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</si>
  <si>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</si>
  <si>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</si>
  <si>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</si>
  <si>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</si>
  <si>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</si>
  <si>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</si>
  <si>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</si>
  <si>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</si>
  <si>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</si>
  <si>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</si>
  <si>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</si>
  <si>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</si>
  <si>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</si>
  <si>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</si>
  <si>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</si>
  <si>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</si>
  <si>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</si>
  <si>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</si>
  <si>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</si>
  <si>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</si>
  <si>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</si>
  <si>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</si>
  <si>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</si>
  <si>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</si>
  <si>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</si>
  <si>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</si>
  <si>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</si>
  <si>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</si>
  <si>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</si>
  <si>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</si>
  <si>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</si>
  <si>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</si>
  <si>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</si>
  <si>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</si>
  <si>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</si>
  <si>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</si>
  <si>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</si>
  <si>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</si>
  <si>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</si>
  <si>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</si>
  <si>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</si>
  <si>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</si>
  <si>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</si>
  <si>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</si>
  <si>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</si>
  <si>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</si>
  <si>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</si>
  <si>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</si>
  <si>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</si>
  <si>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</si>
  <si>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</si>
  <si>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</si>
  <si>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</si>
  <si>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</si>
  <si>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</si>
  <si>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</si>
  <si>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</si>
  <si>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</si>
  <si>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</si>
  <si>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</si>
  <si>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</si>
  <si>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</si>
  <si>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</si>
  <si>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</si>
  <si>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</si>
  <si>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</si>
  <si>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</si>
  <si>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</si>
  <si>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</si>
  <si>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</si>
  <si>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</si>
  <si>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</si>
  <si>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</si>
  <si>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</si>
  <si>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</si>
  <si>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</si>
  <si>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</si>
  <si>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</si>
  <si>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</si>
  <si>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</si>
  <si>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</si>
  <si>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</si>
  <si>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</si>
  <si>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</si>
  <si>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</si>
  <si>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</si>
  <si>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</si>
  <si>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</si>
  <si>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</si>
  <si>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</si>
  <si>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</si>
  <si>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</si>
  <si>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</si>
  <si>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</si>
  <si>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</si>
  <si>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</si>
  <si>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</si>
  <si>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</si>
  <si>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</si>
  <si>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</si>
  <si>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</si>
  <si>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</si>
  <si>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</si>
  <si>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</si>
  <si>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</si>
  <si>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</si>
  <si>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</si>
  <si>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</si>
  <si>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</si>
  <si>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</si>
  <si>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</si>
  <si>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</si>
  <si>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</si>
  <si>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</si>
  <si>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</si>
  <si>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</si>
  <si>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</si>
  <si>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</si>
  <si>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</si>
  <si>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</si>
  <si>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</si>
  <si>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</si>
  <si>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</si>
  <si>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</si>
  <si>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</si>
  <si>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</si>
  <si>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</si>
  <si>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</si>
  <si>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</si>
  <si>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</si>
  <si>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</si>
  <si>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</si>
  <si>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</si>
  <si>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</si>
  <si>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</si>
  <si>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</si>
  <si>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</si>
  <si>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</si>
  <si>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</si>
  <si>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</si>
  <si>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</si>
  <si>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</si>
  <si>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</si>
  <si>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</si>
  <si>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</si>
  <si>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</si>
  <si>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</si>
  <si>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</si>
  <si>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</si>
  <si>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</si>
  <si>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</si>
  <si>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</si>
  <si>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</si>
  <si>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</si>
  <si>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</si>
  <si>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</si>
  <si>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</si>
  <si>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</si>
  <si>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</si>
  <si>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</si>
  <si>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</si>
  <si>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</si>
  <si>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</si>
  <si>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</si>
  <si>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</si>
  <si>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</si>
  <si>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</si>
  <si>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</si>
  <si>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</si>
  <si>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</si>
  <si>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</si>
  <si>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</si>
  <si>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</si>
  <si>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</si>
  <si>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</si>
  <si>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</si>
  <si>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</si>
  <si>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</si>
  <si>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</si>
  <si>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</si>
  <si>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</si>
  <si>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</si>
  <si>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</si>
  <si>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</si>
  <si>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</si>
  <si>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</si>
  <si>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</si>
  <si>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</si>
  <si>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</si>
  <si>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</si>
  <si>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</si>
  <si>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</si>
  <si>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</si>
  <si>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</si>
  <si>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</si>
  <si>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</si>
  <si>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</si>
  <si>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</si>
  <si>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</si>
  <si>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</si>
  <si>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</si>
  <si>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</si>
  <si>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</si>
  <si>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</si>
  <si>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</si>
  <si>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</si>
  <si>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</si>
  <si>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</si>
  <si>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</si>
  <si>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</si>
  <si>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</si>
  <si>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</si>
  <si>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</si>
  <si>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</si>
  <si>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</si>
  <si>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</si>
  <si>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</si>
  <si>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</si>
  <si>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</si>
  <si>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</si>
  <si>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</si>
  <si>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</si>
  <si>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</si>
  <si>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</si>
  <si>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</si>
  <si>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</si>
  <si>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</si>
  <si>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</si>
  <si>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</si>
  <si>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</si>
  <si>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</si>
  <si>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</si>
  <si>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</si>
  <si>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</si>
  <si>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</si>
  <si>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</si>
  <si>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</si>
  <si>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</si>
  <si>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</si>
  <si>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</si>
  <si>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</si>
  <si>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</si>
  <si>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</si>
  <si>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</si>
  <si>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</si>
  <si>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</si>
  <si>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</si>
  <si>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</si>
  <si>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</si>
  <si>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</si>
  <si>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</si>
  <si>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</si>
  <si>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</si>
  <si>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</si>
  <si>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</si>
  <si>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</si>
  <si>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</si>
  <si>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</si>
  <si>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</si>
  <si>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</si>
  <si>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</si>
  <si>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</si>
  <si>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</si>
  <si>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</si>
  <si>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</si>
  <si>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</si>
  <si>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</si>
  <si>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</si>
  <si>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</si>
  <si>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</si>
  <si>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</si>
  <si>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</si>
  <si>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</si>
  <si>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</si>
  <si>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</si>
  <si>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</si>
  <si>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</si>
  <si>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</si>
  <si>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</si>
  <si>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</si>
  <si>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</si>
  <si>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</si>
  <si>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</si>
  <si>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</si>
  <si>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</si>
  <si>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</si>
  <si>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</si>
  <si>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</si>
  <si>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</si>
  <si>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</si>
  <si>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</si>
  <si>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</si>
  <si>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</si>
  <si>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</si>
  <si>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</si>
  <si>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</si>
  <si>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</si>
  <si>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</si>
  <si>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</si>
  <si>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</si>
  <si>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</si>
  <si>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</si>
  <si>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</si>
  <si>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</si>
  <si>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</si>
  <si>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</si>
  <si>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</si>
  <si>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</si>
  <si>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</si>
  <si>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</si>
  <si>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</si>
  <si>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</si>
  <si>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</si>
  <si>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</si>
  <si>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</si>
  <si>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</si>
  <si>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</si>
  <si>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</si>
  <si>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</si>
  <si>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</si>
  <si>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</si>
  <si>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</si>
  <si>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</si>
  <si>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</si>
  <si>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</si>
  <si>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</si>
  <si>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</si>
  <si>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</si>
  <si>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</si>
  <si>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</si>
  <si>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</si>
  <si>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</si>
  <si>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</si>
  <si>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</si>
  <si>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</si>
  <si>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</si>
  <si>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</si>
  <si>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</si>
  <si>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</si>
  <si>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</si>
  <si>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</si>
  <si>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</si>
  <si>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</si>
  <si>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</si>
  <si>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</si>
  <si>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</si>
  <si>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</si>
  <si>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</si>
  <si>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</si>
  <si>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</si>
  <si>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</si>
  <si>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</si>
  <si>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</si>
  <si>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</si>
  <si>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</si>
  <si>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</si>
  <si>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</si>
  <si>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</si>
  <si>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</si>
  <si>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</si>
  <si>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</si>
  <si>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</si>
  <si>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</si>
  <si>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</si>
  <si>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</si>
  <si>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</si>
  <si>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</si>
  <si>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</si>
  <si>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</si>
  <si>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</si>
  <si>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</si>
  <si>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</si>
  <si>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</si>
  <si>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</si>
  <si>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</si>
  <si>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</si>
  <si>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</si>
  <si>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</si>
  <si>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</si>
  <si>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</si>
  <si>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</si>
  <si>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</si>
  <si>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</si>
  <si>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</si>
  <si>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</si>
  <si>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</si>
  <si>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</si>
  <si>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</si>
  <si>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</si>
  <si>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</si>
  <si>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</si>
  <si>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</si>
  <si>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</si>
  <si>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</si>
  <si>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</si>
  <si>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</si>
  <si>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</si>
  <si>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</si>
  <si>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</si>
  <si>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</si>
  <si>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</si>
  <si>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</si>
  <si>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</si>
  <si>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</si>
  <si>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</si>
  <si>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</si>
  <si>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</si>
  <si>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</si>
  <si>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</si>
  <si>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</si>
  <si>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</si>
  <si>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</si>
  <si>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</si>
  <si>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</si>
  <si>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</si>
  <si>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</si>
  <si>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</si>
  <si>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</si>
  <si>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</si>
  <si>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</si>
  <si>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</si>
  <si>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</si>
  <si>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</si>
  <si>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</si>
  <si>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</si>
  <si>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</si>
  <si>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</si>
  <si>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</si>
  <si>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</si>
  <si>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</si>
  <si>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</si>
  <si>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</si>
  <si>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</si>
  <si>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</si>
  <si>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</si>
  <si>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</si>
  <si>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</si>
  <si>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</si>
  <si>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</si>
  <si>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</si>
  <si>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</si>
  <si>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</si>
  <si>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</si>
  <si>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</si>
  <si>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</si>
  <si>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</si>
  <si>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</si>
  <si>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</si>
  <si>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</si>
  <si>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</si>
  <si>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</si>
  <si>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</si>
  <si>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</si>
  <si>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</si>
  <si>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</si>
  <si>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</si>
  <si>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</si>
  <si>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</si>
  <si>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</si>
  <si>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</si>
  <si>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</si>
  <si>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</si>
  <si>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</si>
  <si>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</si>
  <si>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</si>
  <si>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</si>
  <si>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</si>
  <si>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</si>
  <si>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</si>
  <si>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</si>
  <si>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</si>
  <si>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</si>
  <si>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</si>
  <si>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</si>
  <si>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</si>
  <si>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</si>
  <si>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</si>
  <si>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</si>
  <si>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</si>
  <si>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</si>
  <si>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</si>
  <si>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</si>
  <si>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</si>
  <si>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</si>
  <si>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</si>
  <si>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</si>
  <si>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</si>
  <si>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</si>
  <si>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</si>
  <si>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</si>
  <si>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</si>
  <si>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</si>
  <si>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</si>
  <si>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</si>
  <si>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</si>
  <si>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</si>
  <si>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</si>
  <si>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</si>
  <si>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</si>
  <si>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</si>
  <si>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</si>
  <si>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</si>
  <si>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</si>
  <si>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</si>
  <si>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</si>
  <si>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</si>
  <si>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</si>
  <si>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</si>
  <si>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</si>
  <si>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</si>
  <si>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</si>
  <si>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</si>
  <si>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</si>
  <si>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</si>
  <si>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</si>
  <si>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</si>
  <si>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</si>
  <si>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</si>
  <si>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</si>
  <si>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</si>
  <si>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</si>
  <si>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</si>
  <si>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</si>
  <si>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</si>
  <si>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</si>
  <si>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</si>
  <si>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</si>
  <si>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</si>
  <si>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</si>
  <si>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</si>
  <si>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</si>
  <si>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</si>
  <si>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</si>
  <si>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</si>
  <si>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</si>
  <si>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</si>
  <si>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</si>
  <si>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</si>
  <si>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</si>
  <si>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</si>
  <si>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</si>
  <si>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</si>
  <si>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</si>
  <si>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</si>
  <si>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</si>
  <si>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</si>
  <si>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</si>
  <si>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</si>
  <si>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</si>
  <si>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</si>
  <si>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</si>
  <si>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</si>
  <si>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</si>
  <si>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</si>
  <si>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</si>
  <si>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</si>
  <si>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</si>
  <si>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</si>
  <si>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</si>
  <si>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</si>
  <si>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</si>
  <si>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</si>
  <si>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</si>
  <si>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</si>
  <si>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</si>
  <si>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</si>
  <si>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</si>
  <si>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</si>
  <si>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</si>
  <si>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</si>
  <si>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</si>
  <si>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</si>
  <si>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</si>
  <si>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</si>
  <si>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</si>
  <si>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</si>
  <si>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</si>
  <si>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</si>
  <si>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</si>
  <si>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</si>
  <si>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</si>
  <si>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</si>
  <si>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</si>
  <si>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</si>
  <si>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</si>
  <si>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</si>
  <si>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</si>
  <si>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</si>
  <si>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</si>
  <si>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</si>
  <si>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</si>
  <si>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</si>
  <si>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</si>
  <si>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</si>
  <si>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</si>
  <si>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</si>
  <si>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</si>
  <si>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</si>
  <si>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</si>
  <si>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</si>
  <si>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</si>
  <si>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</si>
  <si>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</si>
  <si>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</si>
  <si>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</si>
  <si>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</si>
  <si>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</si>
  <si>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</si>
  <si>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</si>
  <si>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</si>
  <si>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</si>
  <si>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</si>
  <si>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</si>
  <si>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</si>
  <si>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</si>
  <si>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</si>
  <si>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</si>
  <si>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</si>
  <si>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</si>
  <si>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</si>
  <si>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</si>
  <si>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</si>
  <si>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</si>
  <si>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</si>
  <si>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</si>
  <si>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</si>
  <si>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</si>
  <si>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</si>
  <si>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</si>
  <si>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</si>
  <si>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</si>
  <si>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</si>
  <si>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</si>
  <si>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</si>
  <si>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</si>
  <si>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</si>
  <si>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</si>
  <si>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</si>
  <si>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</si>
  <si>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</si>
  <si>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</si>
  <si>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</si>
  <si>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</si>
  <si>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</si>
  <si>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</si>
  <si>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</si>
  <si>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</si>
  <si>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</si>
  <si>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</si>
  <si>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</si>
  <si>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</si>
  <si>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</si>
  <si>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</si>
  <si>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</si>
  <si>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</si>
  <si>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</si>
  <si>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</si>
  <si>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</si>
  <si>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</si>
  <si>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</si>
  <si>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</si>
  <si>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</si>
  <si>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</si>
  <si>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</si>
  <si>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</si>
  <si>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</si>
  <si>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</si>
  <si>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</si>
  <si>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</si>
  <si>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</si>
  <si>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</si>
  <si>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</si>
  <si>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</si>
  <si>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</si>
  <si>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</si>
  <si>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</si>
  <si>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</si>
  <si>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</si>
  <si>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</si>
  <si>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</si>
  <si>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</si>
  <si>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</si>
  <si>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</si>
  <si>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</si>
  <si>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</si>
  <si>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</si>
  <si>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</si>
  <si>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</si>
  <si>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</si>
  <si>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</si>
  <si>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</si>
  <si>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</si>
  <si>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</si>
  <si>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</si>
  <si>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</si>
  <si>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</si>
  <si>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</si>
  <si>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</si>
  <si>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</si>
  <si>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</si>
  <si>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</si>
  <si>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</si>
  <si>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</si>
  <si>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</si>
  <si>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</si>
  <si>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</si>
  <si>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</si>
  <si>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</si>
  <si>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</si>
  <si>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</si>
  <si>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</si>
  <si>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</si>
  <si>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</si>
  <si>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</si>
  <si>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</si>
  <si>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</si>
  <si>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</si>
  <si>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</si>
  <si>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</si>
  <si>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</si>
  <si>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</si>
  <si>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</si>
  <si>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</si>
  <si>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</si>
  <si>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</si>
  <si>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</si>
  <si>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</si>
  <si>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</si>
  <si>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</si>
  <si>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</si>
  <si>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</si>
  <si>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</si>
  <si>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</si>
  <si>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</si>
  <si>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</si>
  <si>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</si>
  <si>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</si>
  <si>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</si>
  <si>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</si>
  <si>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</si>
  <si>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</si>
  <si>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</si>
  <si>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</si>
  <si>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</si>
  <si>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</si>
  <si>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</si>
  <si>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</si>
  <si>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</si>
  <si>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</si>
  <si>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</si>
  <si>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</si>
  <si>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</si>
  <si>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</si>
  <si>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</si>
  <si>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</si>
  <si>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</si>
  <si>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</si>
  <si>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</si>
  <si>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</si>
  <si>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</si>
  <si>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</si>
  <si>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</si>
  <si>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</si>
  <si>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</si>
  <si>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</si>
  <si>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</si>
  <si>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</si>
  <si>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</si>
  <si>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</si>
  <si>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</si>
  <si>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</si>
  <si>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</si>
  <si>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</si>
  <si>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</si>
  <si>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</si>
  <si>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</si>
  <si>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</si>
  <si>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</si>
  <si>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</si>
  <si>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</si>
  <si>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</si>
  <si>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</si>
  <si>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</si>
  <si>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</si>
  <si>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</si>
  <si>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</si>
  <si>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</si>
  <si>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</si>
  <si>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</si>
  <si>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</si>
  <si>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</si>
  <si>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</si>
  <si>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</si>
  <si>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</si>
  <si>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</si>
  <si>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</si>
  <si>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</si>
  <si>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</si>
  <si>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</si>
  <si>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</si>
  <si>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</si>
  <si>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</si>
  <si>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</si>
  <si>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</si>
  <si>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</si>
  <si>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</si>
  <si>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</si>
  <si>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</si>
  <si>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</si>
  <si>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</si>
  <si>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</si>
  <si>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</si>
  <si>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</si>
  <si>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</si>
  <si>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</si>
  <si>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</si>
  <si>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</si>
  <si>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</si>
  <si>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</si>
  <si>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</si>
  <si>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</si>
  <si>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</si>
  <si>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</si>
  <si>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</si>
  <si>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</si>
  <si>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</si>
  <si>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</si>
  <si>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</si>
  <si>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</si>
  <si>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</si>
  <si>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</si>
  <si>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</si>
  <si>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</si>
  <si>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</si>
  <si>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</si>
  <si>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</si>
  <si>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</si>
  <si>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</si>
  <si>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</si>
  <si>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</si>
  <si>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</si>
  <si>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</si>
  <si>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</si>
  <si>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</si>
  <si>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</si>
  <si>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</si>
  <si>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</si>
  <si>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</si>
  <si>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</si>
  <si>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</si>
  <si>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</si>
  <si>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</si>
  <si>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</si>
  <si>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</si>
  <si>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</si>
  <si>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</si>
  <si>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</si>
  <si>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</si>
  <si>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</si>
  <si>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</si>
  <si>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</si>
  <si>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</si>
  <si>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</si>
  <si>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</si>
  <si>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</si>
  <si>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</si>
  <si>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</si>
  <si>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</si>
  <si>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</si>
  <si>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</si>
  <si>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</si>
  <si>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</si>
  <si>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</si>
  <si>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</si>
  <si>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</si>
  <si>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</si>
  <si>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</si>
  <si>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</si>
  <si>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</si>
  <si>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</si>
  <si>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</si>
  <si>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</si>
  <si>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</si>
  <si>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</si>
  <si>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</si>
  <si>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</si>
  <si>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</si>
  <si>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</si>
  <si>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</si>
  <si>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</si>
  <si>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</si>
  <si>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</si>
  <si>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</si>
  <si>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</si>
  <si>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LE VIOULOU</t>
  </si>
  <si>
    <t xml:space="preserve">LE VIOULOU EN AMONT DE PARELOUP</t>
  </si>
  <si>
    <t xml:space="preserve">05125780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</si>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</sst>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10.5185185185185</v>
      </c>
      <c r="N5" s="324"/>
      <c r="O5" s="325" t="s">
        <v>239</v>
      </c>
      <c r="P5" s="326" t="n">
        <v>10.4</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11</v>
      </c>
      <c r="P6" s="338" t="s">
        <v>3392</v>
      </c>
      <c r="Q6" s="339"/>
      <c r="R6" s="281"/>
      <c r="S6" s="281"/>
      <c r="T6" s="281"/>
      <c r="U6" s="281"/>
      <c r="V6" s="281"/>
      <c r="W6" s="295"/>
      <c r="X6" s="0"/>
      <c r="Y6" s="0"/>
      <c r="Z6" s="0"/>
    </row>
    <row r="7" customFormat="false" ht="12.75" hidden="false" customHeight="false" outlineLevel="0" collapsed="false">
      <c r="A7" s="340" t="s">
        <v>3393</v>
      </c>
      <c r="B7" s="341" t="n">
        <v>57</v>
      </c>
      <c r="C7" s="342" t="n">
        <v>43</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10.125</v>
      </c>
      <c r="P8" s="356" t="n">
        <f aca="false">IF(ISERROR(AVERAGE(K23:K82)),"  ",AVERAGE(K23:K82))</f>
        <v>1.5625</v>
      </c>
      <c r="Q8" s="357"/>
      <c r="R8" s="281"/>
      <c r="S8" s="281"/>
      <c r="T8" s="281"/>
      <c r="U8" s="281"/>
      <c r="V8" s="281"/>
      <c r="W8" s="295"/>
      <c r="X8" s="0"/>
      <c r="Y8" s="0"/>
      <c r="Z8" s="0"/>
    </row>
    <row r="9" customFormat="false" ht="12.75" hidden="false" customHeight="false" outlineLevel="0" collapsed="false">
      <c r="A9" s="314" t="s">
        <v>3399</v>
      </c>
      <c r="B9" s="358" t="n">
        <v>1</v>
      </c>
      <c r="C9" s="359" t="n">
        <v>0.5</v>
      </c>
      <c r="D9" s="360"/>
      <c r="E9" s="360"/>
      <c r="F9" s="361" t="n">
        <f aca="false">($B9*$B$7+$C9*$C$7)/100</f>
        <v>0.785</v>
      </c>
      <c r="G9" s="362"/>
      <c r="H9" s="317"/>
      <c r="I9" s="281"/>
      <c r="J9" s="363"/>
      <c r="K9" s="364"/>
      <c r="L9" s="347"/>
      <c r="M9" s="365"/>
      <c r="N9" s="355" t="s">
        <v>3400</v>
      </c>
      <c r="O9" s="356" t="n">
        <f aca="false">IF(ISERROR(STDEVP(J23:J82))," ",STDEVP(J23:J82))</f>
        <v>3.15980616494113</v>
      </c>
      <c r="P9" s="356" t="n">
        <f aca="false">IF(ISERROR(STDEVP(K23:K82)),"  ",STDEVP(K23:K82))</f>
        <v>0.496078370824611</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7</v>
      </c>
      <c r="M13" s="381"/>
      <c r="N13" s="389" t="s">
        <v>3412</v>
      </c>
      <c r="O13" s="390" t="n">
        <f aca="false">COUNTIF(F23:F82,"&gt;0")</f>
        <v>19</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0.842105263157895</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1.65</v>
      </c>
      <c r="C20" s="433" t="n">
        <f aca="false">SUM(C23:C82)</f>
        <v>0.6</v>
      </c>
      <c r="D20" s="434"/>
      <c r="E20" s="435" t="s">
        <v>3425</v>
      </c>
      <c r="F20" s="436" t="n">
        <f aca="false">($B20*$B$7+$C20*$C$7)/100</f>
        <v>1.1985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0.9405</v>
      </c>
      <c r="C21" s="444" t="n">
        <f aca="false">C20*C7/100</f>
        <v>0.258</v>
      </c>
      <c r="D21" s="445" t="s">
        <v>3428</v>
      </c>
      <c r="E21" s="446"/>
      <c r="F21" s="447" t="n">
        <f aca="false">B21+C21</f>
        <v>1.1985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0.0285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0.0285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239</v>
      </c>
      <c r="B24" s="490" t="n">
        <v>0.05</v>
      </c>
      <c r="C24" s="491"/>
      <c r="D24" s="492" t="str">
        <f aca="false">IF(ISERROR(VLOOKUP($A24,'liste reference'!$A$6:$B$1174,2,0)),IF(ISERROR(VLOOKUP($A24,'liste reference'!$B$6:$B$1174,1,0)),"",VLOOKUP($A24,'liste reference'!$B$6:$B$1174,1,0)),VLOOKUP($A24,'liste reference'!$A$6:$B$1174,2,0))</f>
        <v>Microspora sp.</v>
      </c>
      <c r="E24" s="493" t="e">
        <f aca="false">IF(D24="",0,VLOOKUP(D24,D$22:D23,1,0))</f>
        <v>#N/A</v>
      </c>
      <c r="F24" s="494" t="n">
        <f aca="false">IF(AND(OR(A24="",A24="!!!!!!"),B24="",C24=""),"",IF(OR(AND(B24="",C24=""),ISERROR(C24+B24)),"!!!",($B24*$B$7+$C24*$C$7)/100))</f>
        <v>0.0285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Microspora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1132</v>
      </c>
      <c r="R24" s="484" t="n">
        <f aca="false">IF(ISTEXT(H24),"",(B24*$B$7/100)+(C24*$C$7/100))</f>
        <v>0.0285</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MICSPX</v>
      </c>
      <c r="Z24" s="470" t="n">
        <f aca="false">IF(ISERROR(MATCH(A24,'liste reference'!$A$6:$A$1174,0)),IF(ISERROR(MATCH(A24,'liste reference'!$B$6:$B$1174,0)),"",(MATCH(A24,'liste reference'!$B$6:$B$1174,0))),(MATCH(A24,'liste reference'!$A$6:$A$1174,0)))</f>
        <v>66</v>
      </c>
    </row>
    <row r="25" customFormat="false" ht="12.75" hidden="false" customHeight="false" outlineLevel="0" collapsed="false">
      <c r="A25" s="489" t="s">
        <v>300</v>
      </c>
      <c r="B25" s="490" t="n">
        <v>0.05</v>
      </c>
      <c r="C25" s="491"/>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0.0285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0.0285</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306</v>
      </c>
      <c r="B26" s="490" t="n">
        <v>0.05</v>
      </c>
      <c r="C26" s="491" t="n">
        <v>0.05</v>
      </c>
      <c r="D26" s="492" t="str">
        <f aca="false">IF(ISERROR(VLOOKUP($A26,'liste reference'!$A$6:$B$1174,2,0)),IF(ISERROR(VLOOKUP($A26,'liste reference'!$B$6:$B$1174,1,0)),"",VLOOKUP($A26,'liste reference'!$B$6:$B$1174,1,0)),VLOOKUP($A26,'liste reference'!$A$6:$B$1174,2,0))</f>
        <v>Paralemanea sp.</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Paralemanea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31566</v>
      </c>
      <c r="R26" s="484" t="n">
        <f aca="false">IF(ISTEXT(H26),"",(B26*$B$7/100)+(C26*$C$7/100))</f>
        <v>0.05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PAASPX</v>
      </c>
      <c r="Z26" s="470" t="n">
        <f aca="false">IF(ISERROR(MATCH(A26,'liste reference'!$A$6:$A$1174,0)),IF(ISERROR(MATCH(A26,'liste reference'!$B$6:$B$1174,0)),"",(MATCH(A26,'liste reference'!$B$6:$B$1174,0))),(MATCH(A26,'liste reference'!$A$6:$A$1174,0)))</f>
        <v>87</v>
      </c>
    </row>
    <row r="27" customFormat="false" ht="12.75" hidden="false" customHeight="false" outlineLevel="0" collapsed="false">
      <c r="A27" s="489" t="s">
        <v>309</v>
      </c>
      <c r="B27" s="490" t="n">
        <v>0.05</v>
      </c>
      <c r="C27" s="491" t="n">
        <v>0.05</v>
      </c>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0.05</v>
      </c>
      <c r="C28" s="491" t="n">
        <v>0.05</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395</v>
      </c>
      <c r="B29" s="490" t="n">
        <v>0.05</v>
      </c>
      <c r="C29" s="491"/>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0.0285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0.0285</v>
      </c>
      <c r="S29" s="485" t="n">
        <f aca="false">IF(OR(ISTEXT(H29),R29=0),"",IF(R29&lt;0.1,1,IF(R29&lt;1,2,IF(R29&lt;10,3,IF(R29&lt;50,4,IF(R29&gt;=50,5,""))))))</f>
        <v>1</v>
      </c>
      <c r="T29" s="485" t="n">
        <f aca="false">IF(ISERROR(S29*J29),0,S29*J29)</f>
        <v>4</v>
      </c>
      <c r="U29" s="485" t="n">
        <f aca="false">IF(ISERROR(S29*J29*K29),0,S29*J29*K29)</f>
        <v>4</v>
      </c>
      <c r="V29" s="501" t="n">
        <f aca="false">IF(ISERROR(S29*K29),0,S29*K29)</f>
        <v>1</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448</v>
      </c>
      <c r="B30" s="490" t="n">
        <v>0.05</v>
      </c>
      <c r="C30" s="491" t="n">
        <v>0.05</v>
      </c>
      <c r="D30" s="492" t="str">
        <f aca="false">IF(ISERROR(VLOOKUP($A30,'liste reference'!$A$6:$B$1174,2,0)),IF(ISERROR(VLOOKUP($A30,'liste reference'!$B$6:$B$1174,1,0)),"",VLOOKUP($A30,'liste reference'!$B$6:$B$1174,1,0)),VLOOKUP($A30,'liste reference'!$A$6:$B$1174,2,0))</f>
        <v>Chiloscyphus polyanthos</v>
      </c>
      <c r="E30" s="493" t="e">
        <f aca="false">IF(D30="",0,VLOOKUP(D30,D$22:D29,1,0))</f>
        <v>#N/A</v>
      </c>
      <c r="F30" s="494" t="n">
        <f aca="false">IF(AND(OR(A30="",A30="!!!!!!"),B30="",C30=""),"",IF(OR(AND(B30="",C30=""),ISERROR(C30+B30)),"!!!",($B30*$B$7+$C30*$C$7)/100))</f>
        <v>0.05</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Chiloscyphus polyanthos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1186</v>
      </c>
      <c r="R30" s="484" t="n">
        <f aca="false">IF(ISTEXT(H30),"",(B30*$B$7/100)+(C30*$C$7/100))</f>
        <v>0.05</v>
      </c>
      <c r="S30" s="485" t="n">
        <f aca="false">IF(OR(ISTEXT(H30),R30=0),"",IF(R30&lt;0.1,1,IF(R30&lt;1,2,IF(R30&lt;10,3,IF(R30&lt;50,4,IF(R30&gt;=50,5,""))))))</f>
        <v>1</v>
      </c>
      <c r="T30" s="485" t="n">
        <f aca="false">IF(ISERROR(S30*J30),0,S30*J30)</f>
        <v>15</v>
      </c>
      <c r="U30" s="485" t="n">
        <f aca="false">IF(ISERROR(S30*J30*K30),0,S30*J30*K30)</f>
        <v>30</v>
      </c>
      <c r="V30" s="501" t="n">
        <f aca="false">IF(ISERROR(S30*K30),0,S30*K30)</f>
        <v>2</v>
      </c>
      <c r="W30" s="502"/>
      <c r="X30" s="503"/>
      <c r="Y30" s="488" t="str">
        <f aca="false">IF(AND(ISNUMBER(F30),OR(A30="",A30="!!!!!!")),"!!!!!!",IF(A30="new.cod","NEWCOD",IF(AND((Z30=""),ISTEXT(A30),A30&lt;&gt;"!!!!!!"),A30,IF(Z30="","",INDEX('liste reference'!$A$6:$A$1174,Z30)))))</f>
        <v>CHIPOL</v>
      </c>
      <c r="Z30" s="470" t="n">
        <f aca="false">IF(ISERROR(MATCH(A30,'liste reference'!$A$6:$A$1174,0)),IF(ISERROR(MATCH(A30,'liste reference'!$B$6:$B$1174,0)),"",(MATCH(A30,'liste reference'!$B$6:$B$1174,0))),(MATCH(A30,'liste reference'!$A$6:$A$1174,0)))</f>
        <v>137</v>
      </c>
    </row>
    <row r="31" customFormat="false" ht="12.75" hidden="false" customHeight="false" outlineLevel="0" collapsed="false">
      <c r="A31" s="489" t="s">
        <v>830</v>
      </c>
      <c r="B31" s="490" t="n">
        <v>0.05</v>
      </c>
      <c r="C31" s="491" t="n">
        <v>0.05</v>
      </c>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0.05</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889</v>
      </c>
      <c r="B32" s="490" t="n">
        <v>0.5</v>
      </c>
      <c r="C32" s="491" t="n">
        <v>0.2</v>
      </c>
      <c r="D32" s="492" t="str">
        <f aca="false">IF(ISERROR(VLOOKUP($A32,'liste reference'!$A$6:$B$1174,2,0)),IF(ISERROR(VLOOKUP($A32,'liste reference'!$B$6:$B$1174,1,0)),"",VLOOKUP($A32,'liste reference'!$B$6:$B$1174,1,0)),VLOOKUP($A32,'liste reference'!$A$6:$B$1174,2,0))</f>
        <v>Fontinalis antipyretica</v>
      </c>
      <c r="E32" s="493" t="e">
        <f aca="false">IF(D32="",0,VLOOKUP(D32,D$22:D31,1,0))</f>
        <v>#N/A</v>
      </c>
      <c r="F32" s="494" t="n">
        <f aca="false">IF(AND(OR(A32="",A32="!!!!!!"),B32="",C32=""),"",IF(OR(AND(B32="",C32=""),ISERROR(C32+B32)),"!!!",($B32*$B$7+$C32*$C$7)/100))</f>
        <v>0.371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antipyretica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1310</v>
      </c>
      <c r="R32" s="484" t="n">
        <f aca="false">IF(ISTEXT(H32),"",(B32*$B$7/100)+(C32*$C$7/100))</f>
        <v>0.371</v>
      </c>
      <c r="S32" s="485" t="n">
        <f aca="false">IF(OR(ISTEXT(H32),R32=0),"",IF(R32&lt;0.1,1,IF(R32&lt;1,2,IF(R32&lt;10,3,IF(R32&lt;50,4,IF(R32&gt;=50,5,""))))))</f>
        <v>2</v>
      </c>
      <c r="T32" s="485" t="n">
        <f aca="false">IF(ISERROR(S32*J32),0,S32*J32)</f>
        <v>20</v>
      </c>
      <c r="U32" s="485" t="n">
        <f aca="false">IF(ISERROR(S32*J32*K32),0,S32*J32*K32)</f>
        <v>20</v>
      </c>
      <c r="V32" s="501" t="n">
        <f aca="false">IF(ISERROR(S32*K32),0,S32*K32)</f>
        <v>2</v>
      </c>
      <c r="W32" s="502"/>
      <c r="X32" s="503"/>
      <c r="Y32" s="488" t="str">
        <f aca="false">IF(AND(ISNUMBER(F32),OR(A32="",A32="!!!!!!")),"!!!!!!",IF(A32="new.cod","NEWCOD",IF(AND((Z32=""),ISTEXT(A32),A32&lt;&gt;"!!!!!!"),A32,IF(Z32="","",INDEX('liste reference'!$A$6:$A$1174,Z32)))))</f>
        <v>FONANT</v>
      </c>
      <c r="Z32" s="470" t="n">
        <f aca="false">IF(ISERROR(MATCH(A32,'liste reference'!$A$6:$A$1174,0)),IF(ISERROR(MATCH(A32,'liste reference'!$B$6:$B$1174,0)),"",(MATCH(A32,'liste reference'!$B$6:$B$1174,0))),(MATCH(A32,'liste reference'!$A$6:$A$1174,0)))</f>
        <v>273</v>
      </c>
    </row>
    <row r="33" customFormat="false" ht="12.75" hidden="false" customHeight="false" outlineLevel="0" collapsed="false">
      <c r="A33" s="489" t="s">
        <v>909</v>
      </c>
      <c r="B33" s="490" t="n">
        <v>0.1</v>
      </c>
      <c r="C33" s="491"/>
      <c r="D33" s="492" t="str">
        <f aca="false">IF(ISERROR(VLOOKUP($A33,'liste reference'!$A$6:$B$1174,2,0)),IF(ISERROR(VLOOKUP($A33,'liste reference'!$B$6:$B$1174,1,0)),"",VLOOKUP($A33,'liste reference'!$B$6:$B$1174,1,0)),VLOOKUP($A33,'liste reference'!$A$6:$B$1174,2,0))</f>
        <v>Hygroamblystegium fluviatile </v>
      </c>
      <c r="E33" s="493" t="e">
        <f aca="false">IF(D33="",0,VLOOKUP(D33,D$22:D32,1,0))</f>
        <v>#N/A</v>
      </c>
      <c r="F33" s="494" t="n">
        <f aca="false">IF(AND(OR(A33="",A33="!!!!!!"),B33="",C33=""),"",IF(OR(AND(B33="",C33=""),ISERROR(C33+B33)),"!!!",($B33*$B$7+$C33*$C$7)/100))</f>
        <v>0.057</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11</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Hygroamblystegium fluviatile </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1237</v>
      </c>
      <c r="R33" s="484" t="n">
        <f aca="false">IF(ISTEXT(H33),"",(B33*$B$7/100)+(C33*$C$7/100))</f>
        <v>0.057</v>
      </c>
      <c r="S33" s="485" t="n">
        <f aca="false">IF(OR(ISTEXT(H33),R33=0),"",IF(R33&lt;0.1,1,IF(R33&lt;1,2,IF(R33&lt;10,3,IF(R33&lt;50,4,IF(R33&gt;=50,5,""))))))</f>
        <v>1</v>
      </c>
      <c r="T33" s="485" t="n">
        <f aca="false">IF(ISERROR(S33*J33),0,S33*J33)</f>
        <v>11</v>
      </c>
      <c r="U33" s="485" t="n">
        <f aca="false">IF(ISERROR(S33*J33*K33),0,S33*J33*K33)</f>
        <v>22</v>
      </c>
      <c r="V33" s="501" t="n">
        <f aca="false">IF(ISERROR(S33*K33),0,S33*K33)</f>
        <v>2</v>
      </c>
      <c r="W33" s="502"/>
      <c r="X33" s="503"/>
      <c r="Y33" s="488" t="str">
        <f aca="false">IF(AND(ISNUMBER(F33),OR(A33="",A33="!!!!!!")),"!!!!!!",IF(A33="new.cod","NEWCOD",IF(AND((Z33=""),ISTEXT(A33),A33&lt;&gt;"!!!!!!"),A33,IF(Z33="","",INDEX('liste reference'!$A$6:$A$1174,Z33)))))</f>
        <v>HYAFLU</v>
      </c>
      <c r="Z33" s="470" t="n">
        <f aca="false">IF(ISERROR(MATCH(A33,'liste reference'!$A$6:$A$1174,0)),IF(ISERROR(MATCH(A33,'liste reference'!$B$6:$B$1174,0)),"",(MATCH(A33,'liste reference'!$B$6:$B$1174,0))),(MATCH(A33,'liste reference'!$A$6:$A$1174,0)))</f>
        <v>281</v>
      </c>
    </row>
    <row r="34" customFormat="false" ht="12.75" hidden="false" customHeight="false" outlineLevel="0" collapsed="false">
      <c r="A34" s="489" t="s">
        <v>974</v>
      </c>
      <c r="B34" s="490" t="n">
        <v>0.05</v>
      </c>
      <c r="C34" s="491"/>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0.0285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0.0285</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1075</v>
      </c>
      <c r="B35" s="490" t="n">
        <v>0.05</v>
      </c>
      <c r="C35" s="491"/>
      <c r="D35" s="492" t="str">
        <f aca="false">IF(ISERROR(VLOOKUP($A35,'liste reference'!$A$6:$B$1174,2,0)),IF(ISERROR(VLOOKUP($A35,'liste reference'!$B$6:$B$1174,1,0)),"",VLOOKUP($A35,'liste reference'!$B$6:$B$1174,1,0)),VLOOKUP($A35,'liste reference'!$A$6:$B$1174,2,0))</f>
        <v>Plagiothecium undulatum</v>
      </c>
      <c r="E35" s="493" t="e">
        <f aca="false">IF(D35="",0,VLOOKUP(D35,D$22:D34,1,0))</f>
        <v>#N/A</v>
      </c>
      <c r="F35" s="494" t="n">
        <f aca="false">IF(AND(OR(A35="",A35="!!!!!!"),B35="",C35=""),"",IF(OR(AND(B35="",C35=""),ISERROR(C35+B35)),"!!!",($B35*$B$7+$C35*$C$7)/100))</f>
        <v>0.0285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Plagiothecium undulatum</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19925</v>
      </c>
      <c r="R35" s="484" t="n">
        <f aca="false">IF(ISTEXT(H35),"",(B35*$B$7/100)+(C35*$C$7/100))</f>
        <v>0.0285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PLAUND</v>
      </c>
      <c r="Z35" s="470" t="n">
        <f aca="false">IF(ISERROR(MATCH(A35,'liste reference'!$A$6:$A$1174,0)),IF(ISERROR(MATCH(A35,'liste reference'!$B$6:$B$1174,0)),"",(MATCH(A35,'liste reference'!$B$6:$B$1174,0))),(MATCH(A35,'liste reference'!$A$6:$A$1174,0)))</f>
        <v>330</v>
      </c>
    </row>
    <row r="36" customFormat="false" ht="12.75" hidden="false" customHeight="false" outlineLevel="0" collapsed="false">
      <c r="A36" s="489" t="s">
        <v>1122</v>
      </c>
      <c r="B36" s="490" t="n">
        <v>0.2</v>
      </c>
      <c r="C36" s="491" t="n">
        <v>0.1</v>
      </c>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0.157</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0.157</v>
      </c>
      <c r="S36" s="485" t="n">
        <f aca="false">IF(OR(ISTEXT(H36),R36=0),"",IF(R36&lt;0.1,1,IF(R36&lt;1,2,IF(R36&lt;10,3,IF(R36&lt;50,4,IF(R36&gt;=50,5,""))))))</f>
        <v>2</v>
      </c>
      <c r="T36" s="485" t="n">
        <f aca="false">IF(ISERROR(S36*J36),0,S36*J36)</f>
        <v>24</v>
      </c>
      <c r="U36" s="485" t="n">
        <f aca="false">IF(ISERROR(S36*J36*K36),0,S36*J36*K36)</f>
        <v>24</v>
      </c>
      <c r="V36" s="501" t="n">
        <f aca="false">IF(ISERROR(S36*K36),0,S36*K36)</f>
        <v>2</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1794</v>
      </c>
      <c r="B37" s="490" t="n">
        <v>0.1</v>
      </c>
      <c r="C37" s="491"/>
      <c r="D37" s="492" t="str">
        <f aca="false">IF(ISERROR(VLOOKUP($A37,'liste reference'!$A$6:$B$1174,2,0)),IF(ISERROR(VLOOKUP($A37,'liste reference'!$B$6:$B$1174,1,0)),"",VLOOKUP($A37,'liste reference'!$B$6:$B$1174,1,0)),VLOOKUP($A37,'liste reference'!$A$6:$B$1174,2,0))</f>
        <v>Ranunculus peltatus</v>
      </c>
      <c r="E37" s="493" t="e">
        <f aca="false">IF(D37="",0,VLOOKUP(D37,D$22:D36,1,0))</f>
        <v>#N/A</v>
      </c>
      <c r="F37" s="494" t="n">
        <f aca="false">IF(AND(OR(A37="",A37="!!!!!!"),B37="",C37=""),"",IF(OR(AND(B37="",C37=""),ISERROR(C37+B37)),"!!!",($B37*$B$7+$C37*$C$7)/100))</f>
        <v>0.057</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peltatus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1908</v>
      </c>
      <c r="R37" s="484" t="n">
        <f aca="false">IF(ISTEXT(H37),"",(B37*$B$7/100)+(C37*$C$7/100))</f>
        <v>0.057</v>
      </c>
      <c r="S37" s="485" t="n">
        <f aca="false">IF(OR(ISTEXT(H37),R37=0),"",IF(R37&lt;0.1,1,IF(R37&lt;1,2,IF(R37&lt;10,3,IF(R37&lt;50,4,IF(R37&gt;=50,5,""))))))</f>
        <v>1</v>
      </c>
      <c r="T37" s="485" t="n">
        <f aca="false">IF(ISERROR(S37*J37),0,S37*J37)</f>
        <v>12</v>
      </c>
      <c r="U37" s="485" t="n">
        <f aca="false">IF(ISERROR(S37*J37*K37),0,S37*J37*K37)</f>
        <v>24</v>
      </c>
      <c r="V37" s="501" t="n">
        <f aca="false">IF(ISERROR(S37*K37),0,S37*K37)</f>
        <v>2</v>
      </c>
      <c r="W37" s="502"/>
      <c r="X37" s="503"/>
      <c r="Y37" s="488" t="str">
        <f aca="false">IF(AND(ISNUMBER(F37),OR(A37="",A37="!!!!!!")),"!!!!!!",IF(A37="new.cod","NEWCOD",IF(AND((Z37=""),ISTEXT(A37),A37&lt;&gt;"!!!!!!"),A37,IF(Z37="","",INDEX('liste reference'!$A$6:$A$1174,Z37)))))</f>
        <v>RANPEL</v>
      </c>
      <c r="Z37" s="470" t="n">
        <f aca="false">IF(ISERROR(MATCH(A37,'liste reference'!$A$6:$A$1174,0)),IF(ISERROR(MATCH(A37,'liste reference'!$B$6:$B$1174,0)),"",(MATCH(A37,'liste reference'!$B$6:$B$1174,0))),(MATCH(A37,'liste reference'!$A$6:$A$1174,0)))</f>
        <v>570</v>
      </c>
    </row>
    <row r="38" customFormat="false" ht="12.75" hidden="false" customHeight="false" outlineLevel="0" collapsed="false">
      <c r="A38" s="489" t="s">
        <v>1932</v>
      </c>
      <c r="B38" s="490" t="n">
        <v>0.05</v>
      </c>
      <c r="C38" s="491" t="n">
        <v>0.05</v>
      </c>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0.05</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0.05</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2084</v>
      </c>
      <c r="B39" s="490" t="n">
        <v>0.05</v>
      </c>
      <c r="C39" s="491"/>
      <c r="D39" s="492" t="str">
        <f aca="false">IF(ISERROR(VLOOKUP($A39,'liste reference'!$A$6:$B$1174,2,0)),IF(ISERROR(VLOOKUP($A39,'liste reference'!$B$6:$B$1174,1,0)),"",VLOOKUP($A39,'liste reference'!$B$6:$B$1174,1,0)),VLOOKUP($A39,'liste reference'!$A$6:$B$1174,2,0))</f>
        <v>Glyceria fluitans</v>
      </c>
      <c r="E39" s="493" t="e">
        <f aca="false">IF(D39="",0,VLOOKUP(D39,D$22:D38,1,0))</f>
        <v>#N/A</v>
      </c>
      <c r="F39" s="494" t="n">
        <f aca="false">IF(AND(OR(A39="",A39="!!!!!!"),B39="",C39=""),"",IF(OR(AND(B39="",C39=""),ISERROR(C39+B39)),"!!!",($B39*$B$7+$C39*$C$7)/100))</f>
        <v>0.0285</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14</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Glyceria fluitans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1564</v>
      </c>
      <c r="R39" s="484" t="n">
        <f aca="false">IF(ISTEXT(H39),"",(B39*$B$7/100)+(C39*$C$7/100))</f>
        <v>0.0285</v>
      </c>
      <c r="S39" s="485" t="n">
        <f aca="false">IF(OR(ISTEXT(H39),R39=0),"",IF(R39&lt;0.1,1,IF(R39&lt;1,2,IF(R39&lt;10,3,IF(R39&lt;50,4,IF(R39&gt;=50,5,""))))))</f>
        <v>1</v>
      </c>
      <c r="T39" s="485" t="n">
        <f aca="false">IF(ISERROR(S39*J39),0,S39*J39)</f>
        <v>14</v>
      </c>
      <c r="U39" s="485" t="n">
        <f aca="false">IF(ISERROR(S39*J39*K39),0,S39*J39*K39)</f>
        <v>28</v>
      </c>
      <c r="V39" s="501" t="n">
        <f aca="false">IF(ISERROR(S39*K39),0,S39*K39)</f>
        <v>2</v>
      </c>
      <c r="W39" s="502"/>
      <c r="X39" s="503"/>
      <c r="Y39" s="488" t="str">
        <f aca="false">IF(AND(ISNUMBER(F39),OR(A39="",A39="!!!!!!")),"!!!!!!",IF(A39="new.cod","NEWCOD",IF(AND((Z39=""),ISTEXT(A39),A39&lt;&gt;"!!!!!!"),A39,IF(Z39="","",INDEX('liste reference'!$A$6:$A$1174,Z39)))))</f>
        <v>GLYFLU</v>
      </c>
      <c r="Z39" s="470" t="n">
        <f aca="false">IF(ISERROR(MATCH(A39,'liste reference'!$A$6:$A$1174,0)),IF(ISERROR(MATCH(A39,'liste reference'!$B$6:$B$1174,0)),"",(MATCH(A39,'liste reference'!$B$6:$B$1174,0))),(MATCH(A39,'liste reference'!$A$6:$A$1174,0)))</f>
        <v>676</v>
      </c>
    </row>
    <row r="40" customFormat="false" ht="12.75" hidden="false" customHeight="false" outlineLevel="0" collapsed="false">
      <c r="A40" s="489" t="s">
        <v>2262</v>
      </c>
      <c r="B40" s="490" t="n">
        <v>0.05</v>
      </c>
      <c r="C40" s="491"/>
      <c r="D40" s="492" t="str">
        <f aca="false">IF(ISERROR(VLOOKUP($A40,'liste reference'!$A$6:$B$1174,2,0)),IF(ISERROR(VLOOKUP($A40,'liste reference'!$B$6:$B$1174,1,0)),"",VLOOKUP($A40,'liste reference'!$B$6:$B$1174,1,0)),VLOOKUP($A40,'liste reference'!$A$6:$B$1174,2,0))</f>
        <v>Veronica beccabunga</v>
      </c>
      <c r="E40" s="493" t="e">
        <f aca="false">IF(D40="",0,VLOOKUP(D40,D$22:D39,1,0))</f>
        <v>#N/A</v>
      </c>
      <c r="F40" s="494" t="n">
        <f aca="false">IF(AND(OR(A40="",A40="!!!!!!"),B40="",C40=""),"",IF(OR(AND(B40="",C40=""),ISERROR(C40+B40)),"!!!",($B40*$B$7+$C40*$C$7)/100))</f>
        <v>0.0285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Veronica beccabunga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1957</v>
      </c>
      <c r="R40" s="484" t="n">
        <f aca="false">IF(ISTEXT(H40),"",(B40*$B$7/100)+(C40*$C$7/100))</f>
        <v>0.0285</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VERBEC</v>
      </c>
      <c r="Z40" s="470" t="n">
        <f aca="false">IF(ISERROR(MATCH(A40,'liste reference'!$A$6:$A$1174,0)),IF(ISERROR(MATCH(A40,'liste reference'!$B$6:$B$1174,0)),"",(MATCH(A40,'liste reference'!$B$6:$B$1174,0))),(MATCH(A40,'liste reference'!$A$6:$A$1174,0)))</f>
        <v>741</v>
      </c>
    </row>
    <row r="41" customFormat="false" ht="12.75" hidden="false" customHeight="false" outlineLevel="0" collapsed="false">
      <c r="A41" s="489" t="s">
        <v>2688</v>
      </c>
      <c r="B41" s="490" t="n">
        <v>0.05</v>
      </c>
      <c r="C41" s="491"/>
      <c r="D41" s="492" t="str">
        <f aca="false">IF(ISERROR(VLOOKUP($A41,'liste reference'!$A$6:$B$1174,2,0)),IF(ISERROR(VLOOKUP($A41,'liste reference'!$B$6:$B$1174,1,0)),"",VLOOKUP($A41,'liste reference'!$B$6:$B$1174,1,0)),VLOOKUP($A41,'liste reference'!$A$6:$B$1174,2,0))</f>
        <v>Lysimachia vulgaris</v>
      </c>
      <c r="E41" s="493" t="e">
        <f aca="false">IF(D41="",0,VLOOKUP(D41,D$22:D40,1,0))</f>
        <v>#N/A</v>
      </c>
      <c r="F41" s="494" t="n">
        <f aca="false">IF(AND(OR(A41="",A41="!!!!!!"),B41="",C41=""),"",IF(OR(AND(B41="",C41=""),ISERROR(C41+B41)),"!!!",($B41*$B$7+$C41*$C$7)/100))</f>
        <v>0.0285</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Lysimachia vulgaris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1887</v>
      </c>
      <c r="R41" s="484" t="n">
        <f aca="false">IF(ISTEXT(H41),"",(B41*$B$7/100)+(C41*$C$7/100))</f>
        <v>0.0285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LYSVUL</v>
      </c>
      <c r="Z41" s="470" t="n">
        <f aca="false">IF(ISERROR(MATCH(A41,'liste reference'!$A$6:$A$1174,0)),IF(ISERROR(MATCH(A41,'liste reference'!$B$6:$B$1174,0)),"",(MATCH(A41,'liste reference'!$B$6:$B$1174,0))),(MATCH(A41,'liste reference'!$A$6:$A$1174,0)))</f>
        <v>899</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1.1985</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LE VIOULOU</v>
      </c>
      <c r="B84" s="453" t="str">
        <f aca="false">C3</f>
        <v>LE VIOULOU EN AMONT DE PARELOUP</v>
      </c>
      <c r="C84" s="525" t="str">
        <f aca="false">A4</f>
        <v>(Date)</v>
      </c>
      <c r="D84" s="526" t="n">
        <f aca="false">IF(OR(ISERROR(SUM($U$23:$U$82)/SUM($V$23:$V$82)),F7&lt;&gt;100),-1,SUM($U$23:$U$82)/SUM($V$23:$V$82))</f>
        <v>10.5185185185185</v>
      </c>
      <c r="E84" s="527" t="n">
        <f aca="false">O13</f>
        <v>19</v>
      </c>
      <c r="F84" s="453" t="n">
        <f aca="false">O14</f>
        <v>16</v>
      </c>
      <c r="G84" s="453" t="n">
        <f aca="false">O15</f>
        <v>7</v>
      </c>
      <c r="H84" s="453" t="n">
        <f aca="false">O16</f>
        <v>9</v>
      </c>
      <c r="I84" s="453" t="n">
        <f aca="false">O17</f>
        <v>0</v>
      </c>
      <c r="J84" s="528" t="n">
        <f aca="false">O8</f>
        <v>10.125</v>
      </c>
      <c r="K84" s="529" t="n">
        <f aca="false">O9</f>
        <v>3.15980616494113</v>
      </c>
      <c r="L84" s="530" t="n">
        <f aca="false">O10</f>
        <v>4</v>
      </c>
      <c r="M84" s="530" t="n">
        <f aca="false">O11</f>
        <v>15</v>
      </c>
      <c r="N84" s="529" t="n">
        <f aca="false">P8</f>
        <v>1.5625</v>
      </c>
      <c r="O84" s="529" t="n">
        <f aca="false">P9</f>
        <v>0.496078370824611</v>
      </c>
      <c r="P84" s="530" t="n">
        <f aca="false">P10</f>
        <v>1</v>
      </c>
      <c r="Q84" s="530" t="n">
        <f aca="false">P11</f>
        <v>2</v>
      </c>
      <c r="R84" s="530" t="n">
        <f aca="false">F21</f>
        <v>1.1985</v>
      </c>
      <c r="S84" s="530" t="n">
        <f aca="false">L11</f>
        <v>0</v>
      </c>
      <c r="T84" s="530" t="n">
        <f aca="false">L12</f>
        <v>7</v>
      </c>
      <c r="U84" s="530" t="n">
        <f aca="false">L13</f>
        <v>7</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24</v>
      </c>
      <c r="U88" s="281"/>
      <c r="V88" s="281" t="n">
        <f aca="false">COUNTIF(V23:V82,T89)</f>
        <v>11</v>
      </c>
    </row>
    <row r="89" customFormat="false" ht="12.75" hidden="true" customHeight="false" outlineLevel="0" collapsed="false">
      <c r="C89" s="534"/>
      <c r="D89" s="534"/>
      <c r="E89" s="534"/>
      <c r="R89" s="281" t="s">
        <v>3453</v>
      </c>
      <c r="S89" s="281"/>
      <c r="T89" s="536" t="n">
        <f aca="false">MAX($V$23:$V$82)</f>
        <v>2</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10.4</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MICSPX</v>
      </c>
      <c r="U91" s="281" t="n">
        <f aca="false">IF(ISERROR(MATCH($T$93,'liste reference'!$A$6:$A$1174,0)),MATCH($T$93,'liste reference'!$B$6:$B$1174,0),(MATCH($T$93,'liste reference'!$A$6:$A$1174,0)))</f>
        <v>66</v>
      </c>
      <c r="V91" s="538"/>
    </row>
    <row r="92" customFormat="false" ht="12.75" hidden="true" customHeight="false" outlineLevel="0" collapsed="false">
      <c r="C92" s="534"/>
      <c r="D92" s="534"/>
      <c r="E92" s="534"/>
      <c r="R92" s="281" t="s">
        <v>3456</v>
      </c>
      <c r="S92" s="281"/>
      <c r="T92" s="281" t="n">
        <f aca="false">MATCH(T89,$V$23:$V$82,0)</f>
        <v>2</v>
      </c>
      <c r="U92" s="281"/>
    </row>
    <row r="93" customFormat="false" ht="12.75" hidden="true" customHeight="false" outlineLevel="0" collapsed="false">
      <c r="C93" s="534"/>
      <c r="D93" s="534"/>
      <c r="E93" s="534"/>
      <c r="R93" s="485" t="s">
        <v>3457</v>
      </c>
      <c r="S93" s="281"/>
      <c r="T93" s="485" t="str">
        <f aca="false">INDEX($A$23:$A$82,$T$92)</f>
        <v>MICSPX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3486</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2017-03-08T17:58:47Z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