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6000" sheetId="6" state="visible" r:id="rId8"/>
    <sheet name="jgjg" sheetId="7" state="hidden" r:id="rId9"/>
    <sheet name="liste codes réf" sheetId="8" state="hidden" r:id="rId10"/>
  </sheets>
  <definedNames>
    <definedName function="false" hidden="false" localSheetId="5" name="_xlnm.Print_Area" vbProcedure="false">'05126000'!$A$1:$Q$82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'05126000'!$A$1:$Q$82</definedName>
    <definedName function="false" hidden="false" localSheetId="5" name="_xlnm__FilterDatabase" vbProcedure="false">'05126000'!$A$1:$C$1415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<sst xmlns="http://schemas.openxmlformats.org/spreadsheetml/2006/main" count="8838" uniqueCount="3496">
  <si>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</si>
  <si>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</si>
  <si>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</si>
  <si>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</si>
  <si>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</si>
  <si>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</si>
  <si>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</si>
  <si>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</si>
  <si>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</si>
  <si>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</si>
  <si>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</si>
  <si>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</si>
  <si>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</si>
  <si>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</si>
  <si>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</si>
  <si>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</si>
  <si>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</si>
  <si>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</si>
  <si>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</si>
  <si>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</si>
  <si>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</si>
  <si>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</si>
  <si>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</si>
  <si>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</si>
  <si>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</si>
  <si>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</si>
  <si>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</si>
  <si>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</si>
  <si>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</si>
  <si>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</si>
  <si>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</si>
  <si>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</si>
  <si>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</si>
  <si>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</si>
  <si>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</si>
  <si>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</si>
  <si>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</si>
  <si>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</si>
  <si>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</si>
  <si>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</si>
  <si>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</si>
  <si>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</si>
  <si>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</si>
  <si>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</si>
  <si>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</si>
  <si>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</si>
  <si>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</si>
  <si>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</si>
  <si>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</si>
  <si>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</si>
  <si>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</si>
  <si>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</si>
  <si>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</si>
  <si>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</si>
  <si>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</si>
  <si>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</si>
  <si>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</si>
  <si>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</si>
  <si>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</si>
  <si>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</si>
  <si>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</si>
  <si>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</si>
  <si>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</si>
  <si>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</si>
  <si>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</si>
  <si>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</si>
  <si>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</si>
  <si>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</si>
  <si>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</si>
  <si>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</si>
  <si>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</si>
  <si>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</si>
  <si>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</si>
  <si>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</si>
  <si>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</si>
  <si>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</si>
  <si>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</si>
  <si>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</si>
  <si>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</si>
  <si>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</si>
  <si>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</si>
  <si>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</si>
  <si>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</si>
  <si>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</si>
  <si>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</si>
  <si>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</si>
  <si>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</si>
  <si>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</si>
  <si>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</si>
  <si>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</si>
  <si>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</si>
  <si>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</si>
  <si>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</si>
  <si>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</si>
  <si>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</si>
  <si>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</si>
  <si>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</si>
  <si>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</si>
  <si>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</si>
  <si>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</si>
  <si>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</si>
  <si>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</si>
  <si>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</si>
  <si>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</si>
  <si>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</si>
  <si>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</si>
  <si>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</si>
  <si>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</si>
  <si>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</si>
  <si>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</si>
  <si>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</si>
  <si>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</si>
  <si>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</si>
  <si>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</si>
  <si>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</si>
  <si>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</si>
  <si>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</si>
  <si>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</si>
  <si>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</si>
  <si>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</si>
  <si>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</si>
  <si>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</si>
  <si>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</si>
  <si>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</si>
  <si>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</si>
  <si>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</si>
  <si>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</si>
  <si>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</si>
  <si>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</si>
  <si>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</si>
  <si>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</si>
  <si>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</si>
  <si>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</si>
  <si>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</si>
  <si>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</si>
  <si>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</si>
  <si>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</si>
  <si>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</si>
  <si>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</si>
  <si>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</si>
  <si>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</si>
  <si>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</si>
  <si>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</si>
  <si>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</si>
  <si>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</si>
  <si>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</si>
  <si>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</si>
  <si>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</si>
  <si>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</si>
  <si>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</si>
  <si>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</si>
  <si>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</si>
  <si>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</si>
  <si>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</si>
  <si>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</si>
  <si>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</si>
  <si>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</si>
  <si>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</si>
  <si>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</si>
  <si>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</si>
  <si>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</si>
  <si>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</si>
  <si>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</si>
  <si>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</si>
  <si>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</si>
  <si>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</si>
  <si>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</si>
  <si>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</si>
  <si>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</si>
  <si>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</si>
  <si>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</si>
  <si>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</si>
  <si>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</si>
  <si>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</si>
  <si>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</si>
  <si>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</si>
  <si>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</si>
  <si>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</si>
  <si>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</si>
  <si>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</si>
  <si>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</si>
  <si>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</si>
  <si>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</si>
  <si>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</si>
  <si>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</si>
  <si>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</si>
  <si>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</si>
  <si>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</si>
  <si>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</si>
  <si>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</si>
  <si>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</si>
  <si>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</si>
  <si>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</si>
  <si>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</si>
  <si>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</si>
  <si>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</si>
  <si>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</si>
  <si>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</si>
  <si>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</si>
  <si>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</si>
  <si>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</si>
  <si>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</si>
  <si>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</si>
  <si>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</si>
  <si>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</si>
  <si>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</si>
  <si>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</si>
  <si>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</si>
  <si>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</si>
  <si>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</si>
  <si>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</si>
  <si>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</si>
  <si>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</si>
  <si>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</si>
  <si>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</si>
  <si>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</si>
  <si>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</si>
  <si>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</si>
  <si>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</si>
  <si>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</si>
  <si>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</si>
  <si>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</si>
  <si>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</si>
  <si>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</si>
  <si>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</si>
  <si>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</si>
  <si>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</si>
  <si>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</si>
  <si>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</si>
  <si>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</si>
  <si>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</si>
  <si>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</si>
  <si>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</si>
  <si>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</si>
  <si>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</si>
  <si>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</si>
  <si>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</si>
  <si>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</si>
  <si>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</si>
  <si>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</si>
  <si>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</si>
  <si>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</si>
  <si>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</si>
  <si>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</si>
  <si>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</si>
  <si>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</si>
  <si>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</si>
  <si>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</si>
  <si>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</si>
  <si>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</si>
  <si>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</si>
  <si>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</si>
  <si>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</si>
  <si>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</si>
  <si>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</si>
  <si>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</si>
  <si>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</si>
  <si>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</si>
  <si>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</si>
  <si>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</si>
  <si>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</si>
  <si>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</si>
  <si>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</si>
  <si>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</si>
  <si>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</si>
  <si>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</si>
  <si>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</si>
  <si>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</si>
  <si>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</si>
  <si>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</si>
  <si>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</si>
  <si>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</si>
  <si>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</si>
  <si>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</si>
  <si>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</si>
  <si>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</si>
  <si>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</si>
  <si>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</si>
  <si>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</si>
  <si>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</si>
  <si>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</si>
  <si>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</si>
  <si>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</si>
  <si>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</si>
  <si>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</si>
  <si>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</si>
  <si>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</si>
  <si>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</si>
  <si>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</si>
  <si>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</si>
  <si>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</si>
  <si>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</si>
  <si>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</si>
  <si>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</si>
  <si>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</si>
  <si>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</si>
  <si>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</si>
  <si>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</si>
  <si>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</si>
  <si>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</si>
  <si>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</si>
  <si>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</si>
  <si>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</si>
  <si>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</si>
  <si>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</si>
  <si>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</si>
  <si>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</si>
  <si>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</si>
  <si>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</si>
  <si>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</si>
  <si>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</si>
  <si>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</si>
  <si>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</si>
  <si>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</si>
  <si>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</si>
  <si>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</si>
  <si>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</si>
  <si>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</si>
  <si>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</si>
  <si>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</si>
  <si>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</si>
  <si>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</si>
  <si>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</si>
  <si>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</si>
  <si>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</si>
  <si>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</si>
  <si>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</si>
  <si>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</si>
  <si>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</si>
  <si>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</si>
  <si>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</si>
  <si>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</si>
  <si>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</si>
  <si>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</si>
  <si>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</si>
  <si>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</si>
  <si>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</si>
  <si>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</si>
  <si>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</si>
  <si>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</si>
  <si>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</si>
  <si>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</si>
  <si>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</si>
  <si>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</si>
  <si>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</si>
  <si>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</si>
  <si>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</si>
  <si>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</si>
  <si>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</si>
  <si>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</si>
  <si>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</si>
  <si>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</si>
  <si>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</si>
  <si>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</si>
  <si>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</si>
  <si>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</si>
  <si>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</si>
  <si>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</si>
  <si>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</si>
  <si>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</si>
  <si>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</si>
  <si>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</si>
  <si>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</si>
  <si>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</si>
  <si>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</si>
  <si>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</si>
  <si>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</si>
  <si>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</si>
  <si>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</si>
  <si>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</si>
  <si>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</si>
  <si>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</si>
  <si>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</si>
  <si>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</si>
  <si>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</si>
  <si>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</si>
  <si>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</si>
  <si>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</si>
  <si>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</si>
  <si>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</si>
  <si>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</si>
  <si>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</si>
  <si>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</si>
  <si>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</si>
  <si>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</si>
  <si>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</si>
  <si>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</si>
  <si>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</si>
  <si>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</si>
  <si>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</si>
  <si>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</si>
  <si>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</si>
  <si>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</si>
  <si>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</si>
  <si>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</si>
  <si>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</si>
  <si>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</si>
  <si>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</si>
  <si>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</si>
  <si>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</si>
  <si>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</si>
  <si>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</si>
  <si>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</si>
  <si>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</si>
  <si>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</si>
  <si>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</si>
  <si>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</si>
  <si>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</si>
  <si>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</si>
  <si>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</si>
  <si>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</si>
  <si>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</si>
  <si>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</si>
  <si>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</si>
  <si>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</si>
  <si>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</si>
  <si>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</si>
  <si>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</si>
  <si>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</si>
  <si>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</si>
  <si>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</si>
  <si>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</si>
  <si>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</si>
  <si>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</si>
  <si>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</si>
  <si>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</si>
  <si>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</si>
  <si>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</si>
  <si>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</si>
  <si>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</si>
  <si>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</si>
  <si>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</si>
  <si>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</si>
  <si>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</si>
  <si>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</si>
  <si>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</si>
  <si>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</si>
  <si>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</si>
  <si>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</si>
  <si>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</si>
  <si>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</si>
  <si>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</si>
  <si>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</si>
  <si>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</si>
  <si>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</si>
  <si>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</si>
  <si>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</si>
  <si>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</si>
  <si>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</si>
  <si>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</si>
  <si>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</si>
  <si>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</si>
  <si>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</si>
  <si>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</si>
  <si>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</si>
  <si>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</si>
  <si>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</si>
  <si>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</si>
  <si>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</si>
  <si>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</si>
  <si>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</si>
  <si>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</si>
  <si>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</si>
  <si>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</si>
  <si>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</si>
  <si>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</si>
  <si>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</si>
  <si>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</si>
  <si>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</si>
  <si>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</si>
  <si>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</si>
  <si>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</si>
  <si>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</si>
  <si>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</si>
  <si>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</si>
  <si>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</si>
  <si>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</si>
  <si>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</si>
  <si>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</si>
  <si>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</si>
  <si>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</si>
  <si>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</si>
  <si>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</si>
  <si>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</si>
  <si>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</si>
  <si>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</si>
  <si>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</si>
  <si>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</si>
  <si>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</si>
  <si>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</si>
  <si>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</si>
  <si>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</si>
  <si>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</si>
  <si>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</si>
  <si>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</si>
  <si>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</si>
  <si>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</si>
  <si>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</si>
  <si>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</si>
  <si>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</si>
  <si>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</si>
  <si>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</si>
  <si>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</si>
  <si>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</si>
  <si>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</si>
  <si>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</si>
  <si>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</si>
  <si>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</si>
  <si>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</si>
  <si>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</si>
  <si>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</si>
  <si>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</si>
  <si>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</si>
  <si>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</si>
  <si>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</si>
  <si>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</si>
  <si>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</si>
  <si>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</si>
  <si>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</si>
  <si>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</si>
  <si>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</si>
  <si>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</si>
  <si>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</si>
  <si>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</si>
  <si>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</si>
  <si>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</si>
  <si>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</si>
  <si>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</si>
  <si>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</si>
  <si>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</si>
  <si>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</si>
  <si>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</si>
  <si>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</si>
  <si>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</si>
  <si>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</si>
  <si>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</si>
  <si>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</si>
  <si>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</si>
  <si>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</si>
  <si>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</si>
  <si>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</si>
  <si>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</si>
  <si>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</si>
  <si>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</si>
  <si>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</si>
  <si>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</si>
  <si>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</si>
  <si>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</si>
  <si>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</si>
  <si>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</si>
  <si>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</si>
  <si>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</si>
  <si>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</si>
  <si>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</si>
  <si>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</si>
  <si>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</si>
  <si>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</si>
  <si>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</si>
  <si>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</si>
  <si>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</si>
  <si>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</si>
  <si>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</si>
  <si>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</si>
  <si>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</si>
  <si>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</si>
  <si>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</si>
  <si>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</si>
  <si>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</si>
  <si>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</si>
  <si>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</si>
  <si>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</si>
  <si>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</si>
  <si>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</si>
  <si>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</si>
  <si>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</si>
  <si>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</si>
  <si>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</si>
  <si>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</si>
  <si>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</si>
  <si>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</si>
  <si>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</si>
  <si>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</si>
  <si>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</si>
  <si>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</si>
  <si>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</si>
  <si>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</si>
  <si>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</si>
  <si>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</si>
  <si>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</si>
  <si>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</si>
  <si>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</si>
  <si>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</si>
  <si>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</si>
  <si>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</si>
  <si>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</si>
  <si>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</si>
  <si>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</si>
  <si>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</si>
  <si>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</si>
  <si>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</si>
  <si>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</si>
  <si>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</si>
  <si>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</si>
  <si>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</si>
  <si>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</si>
  <si>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</si>
  <si>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</si>
  <si>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</si>
  <si>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</si>
  <si>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</si>
  <si>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</si>
  <si>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</si>
  <si>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</si>
  <si>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</si>
  <si>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</si>
  <si>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</si>
  <si>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</si>
  <si>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</si>
  <si>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</si>
  <si>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</si>
  <si>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</si>
  <si>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</si>
  <si>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</si>
  <si>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</si>
  <si>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</si>
  <si>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</si>
  <si>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</si>
  <si>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</si>
  <si>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</si>
  <si>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</si>
  <si>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</si>
  <si>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</si>
  <si>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</si>
  <si>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</si>
  <si>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</si>
  <si>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</si>
  <si>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</si>
  <si>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</si>
  <si>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</si>
  <si>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</si>
  <si>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</si>
  <si>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</si>
  <si>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</si>
  <si>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</si>
  <si>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</si>
  <si>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</si>
  <si>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</si>
  <si>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</si>
  <si>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</si>
  <si>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</si>
  <si>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</si>
  <si>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</si>
  <si>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</si>
  <si>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</si>
  <si>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</si>
  <si>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</si>
  <si>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</si>
  <si>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</si>
  <si>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</si>
  <si>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</si>
  <si>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</si>
  <si>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</si>
  <si>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</si>
  <si>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</si>
  <si>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</si>
  <si>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</si>
  <si>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</si>
  <si>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</si>
  <si>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</si>
  <si>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</si>
  <si>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</si>
  <si>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</si>
  <si>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</si>
  <si>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</si>
  <si>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</si>
  <si>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</si>
  <si>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</si>
  <si>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</si>
  <si>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</si>
  <si>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</si>
  <si>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</si>
  <si>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</si>
  <si>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</si>
  <si>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</si>
  <si>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</si>
  <si>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</si>
  <si>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</si>
  <si>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</si>
  <si>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</si>
  <si>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</si>
  <si>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</si>
  <si>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</si>
  <si>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</si>
  <si>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</si>
  <si>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</si>
  <si>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</si>
  <si>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</si>
  <si>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</si>
  <si>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</si>
  <si>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</si>
  <si>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</si>
  <si>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</si>
  <si>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</si>
  <si>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</si>
  <si>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</si>
  <si>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</si>
  <si>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</si>
  <si>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</si>
  <si>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</si>
  <si>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</si>
  <si>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</si>
  <si>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</si>
  <si>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</si>
  <si>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</si>
  <si>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</si>
  <si>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</si>
  <si>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</si>
  <si>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</si>
  <si>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</si>
  <si>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</si>
  <si>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</si>
  <si>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</si>
  <si>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</si>
  <si>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</si>
  <si>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</si>
  <si>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</si>
  <si>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</si>
  <si>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</si>
  <si>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</si>
  <si>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</si>
  <si>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</si>
  <si>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</si>
  <si>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</si>
  <si>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</si>
  <si>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</si>
  <si>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</si>
  <si>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</si>
  <si>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</si>
  <si>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</si>
  <si>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</si>
  <si>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</si>
  <si>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</si>
  <si>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</si>
  <si>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</si>
  <si>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</si>
  <si>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</si>
  <si>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</si>
  <si>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</si>
  <si>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</si>
  <si>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</si>
  <si>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</si>
  <si>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</si>
  <si>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</si>
  <si>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</si>
  <si>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</si>
  <si>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</si>
  <si>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</si>
  <si>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</si>
  <si>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</si>
  <si>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</si>
  <si>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</si>
  <si>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</si>
  <si>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</si>
  <si>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</si>
  <si>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</si>
  <si>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</si>
  <si>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</si>
  <si>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</si>
  <si>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</si>
  <si>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</si>
  <si>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</si>
  <si>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</si>
  <si>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</si>
  <si>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</si>
  <si>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</si>
  <si>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</si>
  <si>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</si>
  <si>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</si>
  <si>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</si>
  <si>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</si>
  <si>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</si>
  <si>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</si>
  <si>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</si>
  <si>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</si>
  <si>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</si>
  <si>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</si>
  <si>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</si>
  <si>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</si>
  <si>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</si>
  <si>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</si>
  <si>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</si>
  <si>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</si>
  <si>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</si>
  <si>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</si>
  <si>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</si>
  <si>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</si>
  <si>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</si>
  <si>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</si>
  <si>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</si>
  <si>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</si>
  <si>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</si>
  <si>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</si>
  <si>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</si>
  <si>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</si>
  <si>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</si>
  <si>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</si>
  <si>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</si>
  <si>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</si>
  <si>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</si>
  <si>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</si>
  <si>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</si>
  <si>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</si>
  <si>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</si>
  <si>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</si>
  <si>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</si>
  <si>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</si>
  <si>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</si>
  <si>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</si>
  <si>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</si>
  <si>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</si>
  <si>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</si>
  <si>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</si>
  <si>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</si>
  <si>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</si>
  <si>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</si>
  <si>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</si>
  <si>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</si>
  <si>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</si>
  <si>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</si>
  <si>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</si>
  <si>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</si>
  <si>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</si>
  <si>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</si>
  <si>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</si>
  <si>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</si>
  <si>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</si>
  <si>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</si>
  <si>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</si>
  <si>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</si>
  <si>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</si>
  <si>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</si>
  <si>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</si>
  <si>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</si>
  <si>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</si>
  <si>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</si>
  <si>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</si>
  <si>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</si>
  <si>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</si>
  <si>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</si>
  <si>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</si>
  <si>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</si>
  <si>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</si>
  <si>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</si>
  <si>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</si>
  <si>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</si>
  <si>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</si>
  <si>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</si>
  <si>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</si>
  <si>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</si>
  <si>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</si>
  <si>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</si>
  <si>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</si>
  <si>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</si>
  <si>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</si>
  <si>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</si>
  <si>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</si>
  <si>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</si>
  <si>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</si>
  <si>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</si>
  <si>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</si>
  <si>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</si>
  <si>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</si>
  <si>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</si>
  <si>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</si>
  <si>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</si>
  <si>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</si>
  <si>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</si>
  <si>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</si>
  <si>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</si>
  <si>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</si>
  <si>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</si>
  <si>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</si>
  <si>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</si>
  <si>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</si>
  <si>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</si>
  <si>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</si>
  <si>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</si>
  <si>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</si>
  <si>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</si>
  <si>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</si>
  <si>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</si>
  <si>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</si>
  <si>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</si>
  <si>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</si>
  <si>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</si>
  <si>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</si>
  <si>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</si>
  <si>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</si>
  <si>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</si>
  <si>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</si>
  <si>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</si>
  <si>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</si>
  <si>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</si>
  <si>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</si>
  <si>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</si>
  <si>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</si>
  <si>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</si>
  <si>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</si>
  <si>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</si>
  <si>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</si>
  <si>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</si>
  <si>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</si>
  <si>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</si>
  <si>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</si>
  <si>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</si>
  <si>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</si>
  <si>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</si>
  <si>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</si>
  <si>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</si>
  <si>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</si>
  <si>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</si>
  <si>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</si>
  <si>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</si>
  <si>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</si>
  <si>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</si>
  <si>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</si>
  <si>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</si>
  <si>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</si>
  <si>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</si>
  <si>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</si>
  <si>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</si>
  <si>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</si>
  <si>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</si>
  <si>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</si>
  <si>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</si>
  <si>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</si>
  <si>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</si>
  <si>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</si>
  <si>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</si>
  <si>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</si>
  <si>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</si>
  <si>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</si>
  <si>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</si>
  <si>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</si>
  <si>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</si>
  <si>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</si>
  <si>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</si>
  <si>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</si>
  <si>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</si>
  <si>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</si>
  <si>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</si>
  <si>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</si>
  <si>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</si>
  <si>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</si>
  <si>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</si>
  <si>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</si>
  <si>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</si>
  <si>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</si>
  <si>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</si>
  <si>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</si>
  <si>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</si>
  <si>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</si>
  <si>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</si>
  <si>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</si>
  <si>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</si>
  <si>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</si>
  <si>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</si>
  <si>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</si>
  <si>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</si>
  <si>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</si>
  <si>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</si>
  <si>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</si>
  <si>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</si>
  <si>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</si>
  <si>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</si>
  <si>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</si>
  <si>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</si>
  <si>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</si>
  <si>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</si>
  <si>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</si>
  <si>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</si>
  <si>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</si>
  <si>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</si>
  <si>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</si>
  <si>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</si>
  <si>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</si>
  <si>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</si>
  <si>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</si>
  <si>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</si>
  <si>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</si>
  <si>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</si>
  <si>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</si>
  <si>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</si>
  <si>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</si>
  <si>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</si>
  <si>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</si>
  <si>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</si>
  <si>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</si>
  <si>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</si>
  <si>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</si>
  <si>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</si>
  <si>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</si>
  <si>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</si>
  <si>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</si>
  <si>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</si>
  <si>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</si>
  <si>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</si>
  <si>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</si>
  <si>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</si>
  <si>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</si>
  <si>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</si>
  <si>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</si>
  <si>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</si>
  <si>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</si>
  <si>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</si>
  <si>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</si>
  <si>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</si>
  <si>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</si>
  <si>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</si>
  <si>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</si>
  <si>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</si>
  <si>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</si>
  <si>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</si>
  <si>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</si>
  <si>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</si>
  <si>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</si>
  <si>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</si>
  <si>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</si>
  <si>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</si>
  <si>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</si>
  <si>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</si>
  <si>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</si>
  <si>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</si>
  <si>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</si>
  <si>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</si>
  <si>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</si>
  <si>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</si>
  <si>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</si>
  <si>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</si>
  <si>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</si>
  <si>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</si>
  <si>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</si>
  <si>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</si>
  <si>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</si>
  <si>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</si>
  <si>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</si>
  <si>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</si>
  <si>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</si>
  <si>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</si>
  <si>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</si>
  <si>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</si>
  <si>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</si>
  <si>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</si>
  <si>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</si>
  <si>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</si>
  <si>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</si>
  <si>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</si>
  <si>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</si>
  <si>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</si>
  <si>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</si>
  <si>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</si>
  <si>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</si>
  <si>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</si>
  <si>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</si>
  <si>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</si>
  <si>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</si>
  <si>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</si>
  <si>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</si>
  <si>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</si>
  <si>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</si>
  <si>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</si>
  <si>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</si>
  <si>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</si>
  <si>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</si>
  <si>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</si>
  <si>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</si>
  <si>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</si>
  <si>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</si>
  <si>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</si>
  <si>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</si>
  <si>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</si>
  <si>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</si>
  <si>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</si>
  <si>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</si>
  <si>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</si>
  <si>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</si>
  <si>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</si>
  <si>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</si>
  <si>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</si>
  <si>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</si>
  <si>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</si>
  <si>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</si>
  <si>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</si>
  <si>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</si>
  <si>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</si>
  <si>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</si>
  <si>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</si>
  <si>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</si>
  <si>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</si>
  <si>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</si>
  <si>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</si>
  <si>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</si>
  <si>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</si>
  <si>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</si>
  <si>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</si>
  <si>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</si>
  <si>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</si>
  <si>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</si>
  <si>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</si>
  <si>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</si>
  <si>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</si>
  <si>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</si>
  <si>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</si>
  <si>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</si>
  <si>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</si>
  <si>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</si>
  <si>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</si>
  <si>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</si>
  <si>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</si>
  <si>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</si>
  <si>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</si>
  <si>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</si>
  <si>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</si>
  <si>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</si>
  <si>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</si>
  <si>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</si>
  <si>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</si>
  <si>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</si>
  <si>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</si>
  <si>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</si>
  <si>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</si>
  <si>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</si>
  <si>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</si>
  <si>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</si>
  <si>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</si>
  <si>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</si>
  <si>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</si>
  <si>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</si>
  <si>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</si>
  <si>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</si>
  <si>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</si>
  <si>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</si>
  <si>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</si>
  <si>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</si>
  <si>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</si>
  <si>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</si>
  <si>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</si>
  <si>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</si>
  <si>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</si>
  <si>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</si>
  <si>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</si>
  <si>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</si>
  <si>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</si>
  <si>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</si>
  <si>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</si>
  <si>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</si>
  <si>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</si>
  <si>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</si>
  <si>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</si>
  <si>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</si>
  <si>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</si>
  <si>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</si>
  <si>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</si>
  <si>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</si>
  <si>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</si>
  <si>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</si>
  <si>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</si>
  <si>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</si>
  <si>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</si>
  <si>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</si>
  <si>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</si>
  <si>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</si>
  <si>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</si>
  <si>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</si>
  <si>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</si>
  <si>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</si>
  <si>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</si>
  <si>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</si>
  <si>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</si>
  <si>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</si>
  <si>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</si>
  <si>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</si>
  <si>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</si>
  <si>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</si>
  <si>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</si>
  <si>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</si>
  <si>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</si>
  <si>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</si>
  <si>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</si>
  <si>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</si>
  <si>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</si>
  <si>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</si>
  <si>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</si>
  <si>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</si>
  <si>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</si>
  <si>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</si>
  <si>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</si>
  <si>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</si>
  <si>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</si>
  <si>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</si>
  <si>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</si>
  <si>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</si>
  <si>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</si>
  <si>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</si>
  <si>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</si>
  <si>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</si>
  <si>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</si>
  <si>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</si>
  <si>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</si>
  <si>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</si>
  <si>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</si>
  <si>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</si>
  <si>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</si>
  <si>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</si>
  <si>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</si>
  <si>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</si>
  <si>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</si>
  <si>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</si>
  <si>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</si>
  <si>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</si>
  <si>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</si>
  <si>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</si>
  <si>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</si>
  <si>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</si>
  <si>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</si>
  <si>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</si>
  <si>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</si>
  <si>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</si>
  <si>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</si>
  <si>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</si>
  <si>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</si>
  <si>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</si>
  <si>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</si>
  <si>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</si>
  <si>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</si>
  <si>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</si>
  <si>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</si>
  <si>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</si>
  <si>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</si>
  <si>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</si>
  <si>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</si>
  <si>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</si>
  <si>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</si>
  <si>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</si>
  <si>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</si>
  <si>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</si>
  <si>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</si>
  <si>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</si>
  <si>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</si>
  <si>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</si>
  <si>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</si>
  <si>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</si>
  <si>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</si>
  <si>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</si>
  <si>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</si>
  <si>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</si>
  <si>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</si>
  <si>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</si>
  <si>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</si>
  <si>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</si>
  <si>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</si>
  <si>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</si>
  <si>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</si>
  <si>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</si>
  <si>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</si>
  <si>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</si>
  <si>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</si>
  <si>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</si>
  <si>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</si>
  <si>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</si>
  <si>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</si>
  <si>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</si>
  <si>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</si>
  <si>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</si>
  <si>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</si>
  <si>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</si>
  <si>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</si>
  <si>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</si>
  <si>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</si>
  <si>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</si>
  <si>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</si>
  <si>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</si>
  <si>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</si>
  <si>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</si>
  <si>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</si>
  <si>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</si>
  <si>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</si>
  <si>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</si>
  <si>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</si>
  <si>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</si>
  <si>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</si>
  <si>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</si>
  <si>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</si>
  <si>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</si>
  <si>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</si>
  <si>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</si>
  <si>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</si>
  <si>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</si>
  <si>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</si>
  <si>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</si>
  <si>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</si>
  <si>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</si>
  <si>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</si>
  <si>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</si>
  <si>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</si>
  <si>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</si>
  <si>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</si>
  <si>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</si>
  <si>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</si>
  <si>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</si>
  <si>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</si>
  <si>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</si>
  <si>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</si>
  <si>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</si>
  <si>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</si>
  <si>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</si>
  <si>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</si>
  <si>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</si>
  <si>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</si>
  <si>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</si>
  <si>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</si>
  <si>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</si>
  <si>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</si>
  <si>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</si>
  <si>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</si>
  <si>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</si>
  <si>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</si>
  <si>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</si>
  <si>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</si>
  <si>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</si>
  <si>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</si>
  <si>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</si>
  <si>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</si>
  <si>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</si>
  <si>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</si>
  <si>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</si>
  <si>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</si>
  <si>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</si>
  <si>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</si>
  <si>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</si>
  <si>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</si>
  <si>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</si>
  <si>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</si>
  <si>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</si>
  <si>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</si>
  <si>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</si>
  <si>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</si>
  <si>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</si>
  <si>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</si>
  <si>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</si>
  <si>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</si>
  <si>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</si>
  <si>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</si>
  <si>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</si>
  <si>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</si>
  <si>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</si>
  <si>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</si>
  <si>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</si>
  <si>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</si>
  <si>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</si>
  <si>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</si>
  <si>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</si>
  <si>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</si>
  <si>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</si>
  <si>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</si>
  <si>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</si>
  <si>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</si>
  <si>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</si>
  <si>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</si>
  <si>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</si>
  <si>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</si>
  <si>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</si>
  <si>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</si>
  <si>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</si>
  <si>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</si>
  <si>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</si>
  <si>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</si>
  <si>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</si>
  <si>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</si>
  <si>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</si>
  <si>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</si>
  <si>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</si>
  <si>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</si>
  <si>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</si>
  <si>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</si>
  <si>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</si>
  <si>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</si>
  <si>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</si>
  <si>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</si>
  <si>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</si>
  <si>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</si>
  <si>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</si>
  <si>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</si>
  <si>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</si>
  <si>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</si>
  <si>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</si>
  <si>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</si>
  <si>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</si>
  <si>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</si>
  <si>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</si>
  <si>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</si>
  <si>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</si>
  <si>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</si>
  <si>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</si>
  <si>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</si>
  <si>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</si>
  <si>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</si>
  <si>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</si>
  <si>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</si>
  <si>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</si>
  <si>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</si>
  <si>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</si>
  <si>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</si>
  <si>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</si>
  <si>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</si>
  <si>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</si>
  <si>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</si>
  <si>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</si>
  <si>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</si>
  <si>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</si>
  <si>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</si>
  <si>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</si>
  <si>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</si>
  <si>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</si>
  <si>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</si>
  <si>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</si>
  <si>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</si>
  <si>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</si>
  <si>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</si>
  <si>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</si>
  <si>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</si>
  <si>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</si>
  <si>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</si>
  <si>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</si>
  <si>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</si>
  <si>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</si>
  <si>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</si>
  <si>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</si>
  <si>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</si>
  <si>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</si>
  <si>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</si>
  <si>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</si>
  <si>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</si>
  <si>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</si>
  <si>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</si>
  <si>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</si>
  <si>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</si>
  <si>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</si>
  <si>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</si>
  <si>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</si>
  <si>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</si>
  <si>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</si>
  <si>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</si>
  <si>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</si>
  <si>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</si>
  <si>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</si>
  <si>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</si>
  <si>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</si>
  <si>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</si>
  <si>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</si>
  <si>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</si>
  <si>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</si>
  <si>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</si>
  <si>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</si>
  <si>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</si>
  <si>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</si>
  <si>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</si>
  <si>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</si>
  <si>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</si>
  <si>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</si>
  <si>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</si>
  <si>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</si>
  <si>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</si>
  <si>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</si>
  <si>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</si>
  <si>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</si>
  <si>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</si>
  <si>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</si>
  <si>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</si>
  <si>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</si>
  <si>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</si>
  <si>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</si>
  <si>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</si>
  <si>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</si>
  <si>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</si>
  <si>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</si>
  <si>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</si>
  <si>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</si>
  <si>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</si>
  <si>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</si>
  <si>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</si>
  <si>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</si>
  <si>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</si>
  <si>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</si>
  <si>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</si>
  <si>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</si>
  <si>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</si>
  <si>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</si>
  <si>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</si>
  <si>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</si>
  <si>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</si>
  <si>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</si>
  <si>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</si>
  <si>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</si>
  <si>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</si>
  <si>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</si>
  <si>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</si>
  <si>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</si>
  <si>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</si>
  <si>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</si>
  <si>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</si>
  <si>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</si>
  <si>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</si>
  <si>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</si>
  <si>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</si>
  <si>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</si>
  <si>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</si>
  <si>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</si>
  <si>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</si>
  <si>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</si>
  <si>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</si>
  <si>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</si>
  <si>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</si>
  <si>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</si>
  <si>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</si>
  <si>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</si>
  <si>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</si>
  <si>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</si>
  <si>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</si>
  <si>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</si>
  <si>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</si>
  <si>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</si>
  <si>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</si>
  <si>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</si>
  <si>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</si>
  <si>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</si>
  <si>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</si>
  <si>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</si>
  <si>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</si>
  <si>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</si>
  <si>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</si>
  <si>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</si>
  <si>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</si>
  <si>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</si>
  <si>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</si>
  <si>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</si>
  <si>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</si>
  <si>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</si>
  <si>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</si>
  <si>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</si>
  <si>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</si>
  <si>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</si>
  <si>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</si>
  <si>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</si>
  <si>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</si>
  <si>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</si>
  <si>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</si>
  <si>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</si>
  <si>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</si>
  <si>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</si>
  <si>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</si>
  <si>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</si>
  <si>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</si>
  <si>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</si>
  <si>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</si>
  <si>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</si>
  <si>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</si>
  <si>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</si>
  <si>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</si>
  <si>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</si>
  <si>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</si>
  <si>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</si>
  <si>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</si>
  <si>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</si>
  <si>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</si>
  <si>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</si>
  <si>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</si>
  <si>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</si>
  <si>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</si>
  <si>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</si>
  <si>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</si>
  <si>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</si>
  <si>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</si>
  <si>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</si>
  <si>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</si>
  <si>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</si>
  <si>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</si>
  <si>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</si>
  <si>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</si>
  <si>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</si>
  <si>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</si>
  <si>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</si>
  <si>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</si>
  <si>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</si>
  <si>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</si>
  <si>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</si>
  <si>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</si>
  <si>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</si>
  <si>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</si>
  <si>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</si>
  <si>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</si>
  <si>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</si>
  <si>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</si>
  <si>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</si>
  <si>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</si>
  <si>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</si>
  <si>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</si>
  <si>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</si>
  <si>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</si>
  <si>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</si>
  <si>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</si>
  <si>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</si>
  <si>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</si>
  <si>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</si>
  <si>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</si>
  <si>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</si>
  <si>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</si>
  <si>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</si>
  <si>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</si>
  <si>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</si>
  <si>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</si>
  <si>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</si>
  <si>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</si>
  <si>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</si>
  <si>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</si>
  <si>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</si>
  <si>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</si>
  <si>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</si>
  <si>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</si>
  <si>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</si>
  <si>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</si>
  <si>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</si>
  <si>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</si>
  <si>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</si>
  <si>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</si>
  <si>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</si>
  <si>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</si>
  <si>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</si>
  <si>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</si>
  <si>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</si>
  <si>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</si>
  <si>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</si>
  <si>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</si>
  <si>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</si>
  <si>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</si>
  <si>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</si>
  <si>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</si>
  <si>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</si>
  <si>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</si>
  <si>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</si>
  <si>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</si>
  <si>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</si>
  <si>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</si>
  <si>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</si>
  <si>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</si>
  <si>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</si>
  <si>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</si>
  <si>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</si>
  <si>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</si>
  <si>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</si>
  <si>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</si>
  <si>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</si>
  <si>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</si>
  <si>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</si>
  <si>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</si>
  <si>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</si>
  <si>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</si>
  <si>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</si>
  <si>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</si>
  <si>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</si>
  <si>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</si>
  <si>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</si>
  <si>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</si>
  <si>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</si>
  <si>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</si>
  <si>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</si>
  <si>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</si>
  <si>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</si>
  <si>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</si>
  <si>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</si>
  <si>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</si>
  <si>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</si>
  <si>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</si>
  <si>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</si>
  <si>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</si>
  <si>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</si>
  <si>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</si>
  <si>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</si>
  <si>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</si>
  <si>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</si>
  <si>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</si>
  <si>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</si>
  <si>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</si>
  <si>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</si>
  <si>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</si>
  <si>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</si>
  <si>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</si>
  <si>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</si>
  <si>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</si>
  <si>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</si>
  <si>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</si>
  <si>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</si>
  <si>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</si>
  <si>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</si>
  <si>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</si>
  <si>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</si>
  <si>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</si>
  <si>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</si>
  <si>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</si>
  <si>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</si>
  <si>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</si>
  <si>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</si>
  <si>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</si>
  <si>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</si>
  <si>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</si>
  <si>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</si>
  <si>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</si>
  <si>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</si>
  <si>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</si>
  <si>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</si>
  <si>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</si>
  <si>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</si>
  <si>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</si>
  <si>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</si>
  <si>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</si>
  <si>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</si>
  <si>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</si>
  <si>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</si>
  <si>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</si>
  <si>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</si>
  <si>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</si>
  <si>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</si>
  <si>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</si>
  <si>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</si>
  <si>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</si>
  <si>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</si>
  <si>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</si>
  <si>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</si>
  <si>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</si>
  <si>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</si>
  <si>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</si>
  <si>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</si>
  <si>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</si>
  <si>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</si>
  <si>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</si>
  <si>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</si>
  <si>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</si>
  <si>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</si>
  <si>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</si>
  <si>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</si>
  <si>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</si>
  <si>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</si>
  <si>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</si>
  <si>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</si>
  <si>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</si>
  <si>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</si>
  <si>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</si>
  <si>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</si>
  <si>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</si>
  <si>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</si>
  <si>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</si>
  <si>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</si>
  <si>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</si>
  <si>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</si>
  <si>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</si>
  <si>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</si>
  <si>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</si>
  <si>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</si>
  <si>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</si>
  <si>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</si>
  <si>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</si>
  <si>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</si>
  <si>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</si>
  <si>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</si>
  <si>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</si>
  <si>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</si>
  <si>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</si>
  <si>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</si>
  <si>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</si>
  <si>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</si>
  <si>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</si>
  <si>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</si>
  <si>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</si>
  <si>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</si>
  <si>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</si>
  <si>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</si>
  <si>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</si>
  <si>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</si>
  <si>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</si>
  <si>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</si>
  <si>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</si>
  <si>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</si>
  <si>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</si>
  <si>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</si>
  <si>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</si>
  <si>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</si>
  <si>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</si>
  <si>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</si>
  <si>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</si>
  <si>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</si>
  <si>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</si>
  <si>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</si>
  <si>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</si>
  <si>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</si>
  <si>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</si>
  <si>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</si>
  <si>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</si>
  <si>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</si>
  <si>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</si>
  <si>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</si>
  <si>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</si>
  <si>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</si>
  <si>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</si>
  <si>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</si>
  <si>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</si>
  <si>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</si>
  <si>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</si>
  <si>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</si>
  <si>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</si>
  <si>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</si>
  <si>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</si>
  <si>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</si>
  <si>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</si>
  <si>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</si>
  <si>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</si>
  <si>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</si>
  <si>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</si>
  <si>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</si>
  <si>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</si>
  <si>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</si>
  <si>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</si>
  <si>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</si>
  <si>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</si>
  <si>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</si>
  <si>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</si>
  <si>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</si>
  <si>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</si>
  <si>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</si>
  <si>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</si>
  <si>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</si>
  <si>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</si>
  <si>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</si>
  <si>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</si>
  <si>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</si>
  <si>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</si>
  <si>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</si>
  <si>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</si>
  <si>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</si>
  <si>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</si>
  <si>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</si>
  <si>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</si>
  <si>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</si>
  <si>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</si>
  <si>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</si>
  <si>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</si>
  <si>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</si>
  <si>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</si>
  <si>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</si>
  <si>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</si>
  <si>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</si>
  <si>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</si>
  <si>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</si>
  <si>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</si>
  <si>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</si>
  <si>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</si>
  <si>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</si>
  <si>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</si>
  <si>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</si>
  <si>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</si>
  <si>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</si>
  <si>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</si>
  <si>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</si>
  <si>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</si>
  <si>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</si>
  <si>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</si>
  <si>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</si>
  <si>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</si>
  <si>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</si>
  <si>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</si>
  <si>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</si>
  <si>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</si>
  <si>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</si>
  <si>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</si>
  <si>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</si>
  <si>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</si>
  <si>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</si>
  <si>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</si>
  <si>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</si>
  <si>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</si>
  <si>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</si>
  <si>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</si>
  <si>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</si>
  <si>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</si>
  <si>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</si>
  <si>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</si>
  <si>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</si>
  <si>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</si>
  <si>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</si>
  <si>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</si>
  <si>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</si>
  <si>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</si>
  <si>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</si>
  <si>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</si>
  <si>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</si>
  <si>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</si>
  <si>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</si>
  <si>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</si>
  <si>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</si>
  <si>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</si>
  <si>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</si>
  <si>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</si>
  <si>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</si>
  <si>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</si>
  <si>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</si>
  <si>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</si>
  <si>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</si>
  <si>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</si>
  <si>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</si>
  <si>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</si>
  <si>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</si>
  <si>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</si>
  <si>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</si>
  <si>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</si>
  <si>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</si>
  <si>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</si>
  <si>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</si>
  <si>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</si>
  <si>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</si>
  <si>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</si>
  <si>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</si>
  <si>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</si>
  <si>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</si>
  <si>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</si>
  <si>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</si>
  <si>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</si>
  <si>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</si>
  <si>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</si>
  <si>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</si>
  <si>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</si>
  <si>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</si>
  <si>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</si>
  <si>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</si>
  <si>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</si>
  <si>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</si>
  <si>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</si>
  <si>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</si>
  <si>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</si>
  <si>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</si>
  <si>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</si>
  <si>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</si>
  <si>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</si>
  <si>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</si>
  <si>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</si>
  <si>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</si>
  <si>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</si>
  <si>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</si>
  <si>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</si>
  <si>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</si>
  <si>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</si>
  <si>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</si>
  <si>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</si>
  <si>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</si>
  <si>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</si>
  <si>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</si>
  <si>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</si>
  <si>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</si>
  <si>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</si>
  <si>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</si>
  <si>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</si>
  <si>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</si>
  <si>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</si>
  <si>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</si>
  <si>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</si>
  <si>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</si>
  <si>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</si>
  <si>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</si>
  <si>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</si>
  <si>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</si>
  <si>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</si>
  <si>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</si>
  <si>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</si>
  <si>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</si>
  <si>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</si>
  <si>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</si>
  <si>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</si>
  <si>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</si>
  <si>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</si>
  <si>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</si>
  <si>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</si>
  <si>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</si>
  <si>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</si>
  <si>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</si>
  <si>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</si>
  <si>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</si>
  <si>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</si>
  <si>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</si>
  <si>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</si>
  <si>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</si>
  <si>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</si>
  <si>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</si>
  <si>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</si>
  <si>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</si>
  <si>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</si>
  <si>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</si>
  <si>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</si>
  <si>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</si>
  <si>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</si>
  <si>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</si>
  <si>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</si>
  <si>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</si>
  <si>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</si>
  <si>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</si>
  <si>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</si>
  <si>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</si>
  <si>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</si>
  <si>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</si>
  <si>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</si>
  <si>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</si>
  <si>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</si>
  <si>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</si>
  <si>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</si>
  <si>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</si>
  <si>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</si>
  <si>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</si>
  <si>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</si>
  <si>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</si>
  <si>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</si>
  <si>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</si>
  <si>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</si>
  <si>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</si>
  <si>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</si>
  <si>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</si>
  <si>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</si>
  <si>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</si>
  <si>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</si>
  <si>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</si>
  <si>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</si>
  <si>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</si>
  <si>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</si>
  <si>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</si>
  <si>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</si>
  <si>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</si>
  <si>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</si>
  <si>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</si>
  <si>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</si>
  <si>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</si>
  <si>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</si>
  <si>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</si>
  <si>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</si>
  <si>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</si>
  <si>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</si>
  <si>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</si>
  <si>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</si>
  <si>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</si>
  <si>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</si>
  <si>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</si>
  <si>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</si>
  <si>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</si>
  <si>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</si>
  <si>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</si>
  <si>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</si>
  <si>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</si>
  <si>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</si>
  <si>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</si>
  <si>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</si>
  <si>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</si>
  <si>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</si>
  <si>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</si>
  <si>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</si>
  <si>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</si>
  <si>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</si>
  <si>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</si>
  <si>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</si>
  <si>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</si>
  <si>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</si>
  <si>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</si>
  <si>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</si>
  <si>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</si>
  <si>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</si>
  <si>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</si>
  <si>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</si>
  <si>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</si>
  <si>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</si>
  <si>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</si>
  <si>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</si>
  <si>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</si>
  <si>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</si>
  <si>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</si>
  <si>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</si>
  <si>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</si>
  <si>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</si>
  <si>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</si>
  <si>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</si>
  <si>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</si>
  <si>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</si>
  <si>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</si>
  <si>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</si>
  <si>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</si>
  <si>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</si>
  <si>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</si>
  <si>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</si>
  <si>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</si>
  <si>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</si>
  <si>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</si>
  <si>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</si>
  <si>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</si>
  <si>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</si>
  <si>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</si>
  <si>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</si>
  <si>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</si>
  <si>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</si>
  <si>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</si>
  <si>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</si>
  <si>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</si>
  <si>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</si>
  <si>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</si>
  <si>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</si>
  <si>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</si>
  <si>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</si>
  <si>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</si>
  <si>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</si>
  <si>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</si>
  <si>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</si>
  <si>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</si>
  <si>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</si>
  <si>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</si>
  <si>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</si>
  <si>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</si>
  <si>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</si>
  <si>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</si>
  <si>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</si>
  <si>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</si>
  <si>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</si>
  <si>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</si>
  <si>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</si>
  <si>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</si>
  <si>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</si>
  <si>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</si>
  <si>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</si>
  <si>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</si>
  <si>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</si>
  <si>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</si>
  <si>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</si>
  <si>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</si>
  <si>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</si>
  <si>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</si>
  <si>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</si>
  <si>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</si>
  <si>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</si>
  <si>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</si>
  <si>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</si>
  <si>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</si>
  <si>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</si>
  <si>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</si>
  <si>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</si>
  <si>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</si>
  <si>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</si>
  <si>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</si>
  <si>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</si>
  <si>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</si>
  <si>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</si>
  <si>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</si>
  <si>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</si>
  <si>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</si>
  <si>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</si>
  <si>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</si>
  <si>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</si>
  <si>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</si>
  <si>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</si>
  <si>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</si>
  <si>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</si>
  <si>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</si>
  <si>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</si>
  <si>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</si>
  <si>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</si>
  <si>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</si>
  <si>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</si>
  <si>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</si>
  <si>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</si>
  <si>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</si>
  <si>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</si>
  <si>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</si>
  <si>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</si>
  <si>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</si>
  <si>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</si>
  <si>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</si>
  <si>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</si>
  <si>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</si>
  <si>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</si>
  <si>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</si>
  <si>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</si>
  <si>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</si>
  <si>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</si>
  <si>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</si>
  <si>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</si>
  <si>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</si>
  <si>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</si>
  <si>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</si>
  <si>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</si>
  <si>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</si>
  <si>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</si>
  <si>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</si>
  <si>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</si>
  <si>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</si>
  <si>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</si>
  <si>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</si>
  <si>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</si>
  <si>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</si>
  <si>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</si>
  <si>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</si>
  <si>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</si>
  <si>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</si>
  <si>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</si>
  <si>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</si>
  <si>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</si>
  <si>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</si>
  <si>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</si>
  <si>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</si>
  <si>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</si>
  <si>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</si>
  <si>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</si>
  <si>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</si>
  <si>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</si>
  <si>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</si>
  <si>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</si>
  <si>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</si>
  <si>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</si>
  <si>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</si>
  <si>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</si>
  <si>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</si>
  <si>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</si>
  <si>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</si>
  <si>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</si>
  <si>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</si>
  <si>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</si>
  <si>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</si>
  <si>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</si>
  <si>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</si>
  <si>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</si>
  <si>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</si>
  <si>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</si>
  <si>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</si>
  <si>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</si>
  <si>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</si>
  <si>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</si>
  <si>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</si>
  <si>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</si>
  <si>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</si>
  <si>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</si>
  <si>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</si>
  <si>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</si>
  <si>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</si>
  <si>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</si>
  <si>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</si>
  <si>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</si>
  <si>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</si>
  <si>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</si>
  <si>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</si>
  <si>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</si>
  <si>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</si>
  <si>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</si>
  <si>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</si>
  <si>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</si>
  <si>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</si>
  <si>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</si>
  <si>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</si>
  <si>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</si>
  <si>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</si>
  <si>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</si>
  <si>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</si>
  <si>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</si>
  <si>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</si>
  <si>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</si>
  <si>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</si>
  <si>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</si>
  <si>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</si>
  <si>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</si>
  <si>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</si>
  <si>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</si>
  <si>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</si>
  <si>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</si>
  <si>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</si>
  <si>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</si>
  <si>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</si>
  <si>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</si>
  <si>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</si>
  <si>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</si>
  <si>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</si>
  <si>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</si>
  <si>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</si>
  <si>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</si>
  <si>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</si>
  <si>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</si>
  <si>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</si>
  <si>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</si>
  <si>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</si>
  <si>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</si>
  <si>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</si>
  <si>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</si>
  <si>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</si>
  <si>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</si>
  <si>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</si>
  <si>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</si>
  <si>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</si>
  <si>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</si>
  <si>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</si>
  <si>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</si>
  <si>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</si>
  <si>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</si>
  <si>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</si>
  <si>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</si>
  <si>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</si>
  <si>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</si>
  <si>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</si>
  <si>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</si>
  <si>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</si>
  <si>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</si>
  <si>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</si>
  <si>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</si>
  <si>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</si>
  <si>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</si>
  <si>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</si>
  <si>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</si>
  <si>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</si>
  <si>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</si>
  <si>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</si>
  <si>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</si>
  <si>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</si>
  <si>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</si>
  <si>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</si>
  <si>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</si>
  <si>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</si>
  <si>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</si>
  <si>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</si>
  <si>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</si>
  <si>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</si>
  <si>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</si>
  <si>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</si>
  <si>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</si>
  <si>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</si>
  <si>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</si>
  <si>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</si>
  <si>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</si>
  <si>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</si>
  <si>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</si>
  <si>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</si>
  <si>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</si>
  <si>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</si>
  <si>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</si>
  <si>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</si>
  <si>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</si>
  <si>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</si>
  <si>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</si>
  <si>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</si>
  <si>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</si>
  <si>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</si>
  <si>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</si>
  <si>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</si>
  <si>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</si>
  <si>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</si>
  <si>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</si>
  <si>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</si>
  <si>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</si>
  <si>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</si>
  <si>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</si>
  <si>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</si>
  <si>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</si>
  <si>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</si>
  <si>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</si>
  <si>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</si>
  <si>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</si>
  <si>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</si>
  <si>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</si>
  <si>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</si>
  <si>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</si>
  <si>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</si>
  <si>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</si>
  <si>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</si>
  <si>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</si>
  <si>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</si>
  <si>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</si>
  <si>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</si>
  <si>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</si>
  <si>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</si>
  <si>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</si>
  <si>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</si>
  <si>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</si>
  <si>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</si>
  <si>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</si>
  <si>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</si>
  <si>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</si>
  <si>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</si>
  <si>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</si>
  <si>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</si>
  <si>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</si>
  <si>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</si>
  <si>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</si>
  <si>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</si>
  <si>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</si>
  <si>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</si>
  <si>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</si>
  <si>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</si>
  <si>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</si>
  <si>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</si>
  <si>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</si>
  <si>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</si>
  <si>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</si>
  <si>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</si>
  <si>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</si>
  <si>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</si>
  <si>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</si>
  <si>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</si>
  <si>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</si>
  <si>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</si>
  <si>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</si>
  <si>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</si>
  <si>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</si>
  <si>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</si>
  <si>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</si>
  <si>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</si>
  <si>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</si>
  <si>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</si>
  <si>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</si>
  <si>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</si>
  <si>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</si>
  <si>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</si>
  <si>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</si>
  <si>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</si>
  <si>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</si>
  <si>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</si>
  <si>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</si>
  <si>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</si>
  <si>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</si>
  <si>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</si>
  <si>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</si>
  <si>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</si>
  <si>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</si>
  <si>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</si>
  <si>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</si>
  <si>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</si>
  <si>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</si>
  <si>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</si>
  <si>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</si>
  <si>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</si>
  <si>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</si>
  <si>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</si>
  <si>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</si>
  <si>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</si>
  <si>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</si>
  <si>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</si>
  <si>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</si>
  <si>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</si>
  <si>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</si>
  <si>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</si>
  <si>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</si>
  <si>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</si>
  <si>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</si>
  <si>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</si>
  <si>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</si>
  <si>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</si>
  <si>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</si>
  <si>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</si>
  <si>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</si>
  <si>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</si>
  <si>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</si>
  <si>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</si>
  <si>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</si>
  <si>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</si>
  <si>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</si>
  <si>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</si>
  <si>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</si>
  <si>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</si>
  <si>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</si>
  <si>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</si>
  <si>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</si>
  <si>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</si>
  <si>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</si>
  <si>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</si>
  <si>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</si>
  <si>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</si>
  <si>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</si>
  <si>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</si>
  <si>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</si>
  <si>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</si>
  <si>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</si>
  <si>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</si>
  <si>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</si>
  <si>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</si>
  <si>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</si>
  <si>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</si>
  <si>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</si>
  <si>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</si>
  <si>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</si>
  <si>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</si>
  <si>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</si>
  <si>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</si>
  <si>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</si>
  <si>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</si>
  <si>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</si>
  <si>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</si>
  <si>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</si>
  <si>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</si>
  <si>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</si>
  <si>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</si>
  <si>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</si>
  <si>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</si>
  <si>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</si>
  <si>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</si>
  <si>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</si>
  <si>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</si>
  <si>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</si>
  <si>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</si>
  <si>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</si>
  <si>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</si>
  <si>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</si>
  <si>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</si>
  <si>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</si>
  <si>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</si>
  <si>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</si>
  <si>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</si>
  <si>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</si>
  <si>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</si>
  <si>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</si>
  <si>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</si>
  <si>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</si>
  <si>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</si>
  <si>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</si>
  <si>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</si>
  <si>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</si>
  <si>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</si>
  <si>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</si>
  <si>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</si>
  <si>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</si>
  <si>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</si>
  <si>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</si>
  <si>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</si>
  <si>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</si>
  <si>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</si>
  <si>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</si>
  <si>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</si>
  <si>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</si>
  <si>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</si>
  <si>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</si>
  <si>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</si>
  <si>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</si>
  <si>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</si>
  <si>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</si>
  <si>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</si>
  <si>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</si>
  <si>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</si>
  <si>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</si>
  <si>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</si>
  <si>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</si>
  <si>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</si>
  <si>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</si>
  <si>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</si>
  <si>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</si>
  <si>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</si>
  <si>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</si>
  <si>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</si>
  <si>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</si>
  <si>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</si>
  <si>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</si>
  <si>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</si>
  <si>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</si>
  <si>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</si>
  <si>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</si>
  <si>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</si>
  <si>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</si>
  <si>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</si>
  <si>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</si>
  <si>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</si>
  <si>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</si>
  <si>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</si>
  <si>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</si>
  <si>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</si>
  <si>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</si>
  <si>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</si>
  <si>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</si>
  <si>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</si>
  <si>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</si>
  <si>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</si>
  <si>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</si>
  <si>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</si>
  <si>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</si>
  <si>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</si>
  <si>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</si>
  <si>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</si>
  <si>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</si>
  <si>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</si>
  <si>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</si>
  <si>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</si>
  <si>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</si>
  <si>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</si>
  <si>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</si>
  <si>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</si>
  <si>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</si>
  <si>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</si>
  <si>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</si>
  <si>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</si>
  <si>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</si>
  <si>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</si>
  <si>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</si>
  <si>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</si>
  <si>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</si>
  <si>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</si>
  <si>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</si>
  <si>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</si>
  <si>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</si>
  <si>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</si>
  <si>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</si>
  <si>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</si>
  <si>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</si>
  <si>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</si>
  <si>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</si>
  <si>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</si>
  <si>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</si>
  <si>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</si>
  <si>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</si>
  <si>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</si>
  <si>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</si>
  <si>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</si>
  <si>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</si>
  <si>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</si>
  <si>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</si>
  <si>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</si>
  <si>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</si>
  <si>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</si>
  <si>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</si>
  <si>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</si>
  <si>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</si>
  <si>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</si>
  <si>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</si>
  <si>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</si>
  <si>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</si>
  <si>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</si>
  <si>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</si>
  <si>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</si>
  <si>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</si>
  <si>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</si>
  <si>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</si>
  <si>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</si>
  <si>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</si>
  <si>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</si>
  <si>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</si>
  <si>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</si>
  <si>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</si>
  <si>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</si>
  <si>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</si>
  <si>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</si>
  <si>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</si>
  <si>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</si>
  <si>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</si>
  <si>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</si>
  <si>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</si>
  <si>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</si>
  <si>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</si>
  <si>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</si>
  <si>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</si>
  <si>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</si>
  <si>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</si>
  <si>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</si>
  <si>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</si>
  <si>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</si>
  <si>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</si>
  <si>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</si>
  <si>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</si>
  <si>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</si>
  <si>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</si>
  <si>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</si>
  <si>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</si>
  <si>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</si>
  <si>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</si>
  <si>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</si>
  <si>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</si>
  <si>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</si>
  <si>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</si>
  <si>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</si>
  <si>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</si>
  <si>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</si>
  <si>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</si>
  <si>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</si>
  <si>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</si>
  <si>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</si>
  <si>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</si>
  <si>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</si>
  <si>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</si>
  <si>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</si>
  <si>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</si>
  <si>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</si>
  <si>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</si>
  <si>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</si>
  <si>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</si>
  <si>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</si>
  <si>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</si>
  <si>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</si>
  <si>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</si>
  <si>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</si>
  <si>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</si>
  <si>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</si>
  <si>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</si>
  <si>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</si>
  <si>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</si>
  <si>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</si>
  <si>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</si>
  <si>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</si>
  <si>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</si>
  <si>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</si>
  <si>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</si>
  <si>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</si>
  <si>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</si>
  <si>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</si>
  <si>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</si>
  <si>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</si>
  <si>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</si>
  <si>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</si>
  <si>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</si>
  <si>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</si>
  <si>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</si>
  <si>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</si>
  <si>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</si>
  <si>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</si>
  <si>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</si>
  <si>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</si>
  <si>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</si>
  <si>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</si>
  <si>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</si>
  <si>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</si>
  <si>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</si>
  <si>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</si>
  <si>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</si>
  <si>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</si>
  <si>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</si>
  <si>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</si>
  <si>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</si>
  <si>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</si>
  <si>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</si>
  <si>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</si>
  <si>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</si>
  <si>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</si>
  <si>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</si>
  <si>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</si>
  <si>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</si>
  <si>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</si>
  <si>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</si>
  <si>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</si>
  <si>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</si>
  <si>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</si>
  <si>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</si>
  <si>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</si>
  <si>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</si>
  <si>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</si>
  <si>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</si>
  <si>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</si>
  <si>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</si>
  <si>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</si>
  <si>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</si>
  <si>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</si>
  <si>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</si>
  <si>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</si>
  <si>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</si>
  <si>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</si>
  <si>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</si>
  <si>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</si>
  <si>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</si>
  <si>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</si>
  <si>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</si>
  <si>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</si>
  <si>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</si>
  <si>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</si>
  <si>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</si>
  <si>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</si>
  <si>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</si>
  <si>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</si>
  <si>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</si>
  <si>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</si>
  <si>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</si>
  <si>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</si>
  <si>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</si>
  <si>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</si>
  <si>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</si>
  <si>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</si>
  <si>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</si>
  <si>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</si>
  <si>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</si>
  <si>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</si>
  <si>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</si>
  <si>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</si>
  <si>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</si>
  <si>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</si>
  <si>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</si>
  <si>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</si>
  <si>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</si>
  <si>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</si>
  <si>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</si>
  <si>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</si>
  <si>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</si>
  <si>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</si>
  <si>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</si>
  <si>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</si>
  <si>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</si>
  <si>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</si>
  <si>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</si>
  <si>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</si>
  <si>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</si>
  <si>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</si>
  <si>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</si>
  <si>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</si>
  <si>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</si>
  <si>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</si>
  <si>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</si>
  <si>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</si>
  <si>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</si>
  <si>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</si>
  <si>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</si>
  <si>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</si>
  <si>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</si>
  <si>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</si>
  <si>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</si>
  <si>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</si>
  <si>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</si>
  <si>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</si>
  <si>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</si>
  <si>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</si>
  <si>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</si>
  <si>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</si>
  <si>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</si>
  <si>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</si>
  <si>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</si>
  <si>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</si>
  <si>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</si>
  <si>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</si>
  <si>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</si>
  <si>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</si>
  <si>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</si>
  <si>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</si>
  <si>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</si>
  <si>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</si>
  <si>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</si>
  <si>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</si>
  <si>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</si>
  <si>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</si>
  <si>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</si>
  <si>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</si>
  <si>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</si>
  <si>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</si>
  <si>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</si>
  <si>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</si>
  <si>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</si>
  <si>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</si>
  <si>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</si>
  <si>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</si>
  <si>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</si>
  <si>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</si>
  <si>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</si>
  <si>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</si>
  <si>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</si>
  <si>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</si>
  <si>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</si>
  <si>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</si>
  <si>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</si>
  <si>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</si>
  <si>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</si>
  <si>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</si>
  <si>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</si>
  <si>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</si>
  <si>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</si>
  <si>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</si>
  <si>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</si>
  <si>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</si>
  <si>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</si>
  <si>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</si>
  <si>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</si>
  <si>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</si>
  <si>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</si>
  <si>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</si>
  <si>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</si>
  <si>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</si>
  <si>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</si>
  <si>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</si>
  <si>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</si>
  <si>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</si>
  <si>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</si>
  <si>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</si>
  <si>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</si>
  <si>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</si>
  <si>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</si>
  <si>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</si>
  <si>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</si>
  <si>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</si>
  <si>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</si>
  <si>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</si>
  <si>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</si>
  <si>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</si>
  <si>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</si>
  <si>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</si>
  <si>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</si>
  <si>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</si>
  <si>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</si>
  <si>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</si>
  <si>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</si>
  <si>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</si>
  <si>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</si>
  <si>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</si>
  <si>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</si>
  <si>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</si>
  <si>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</si>
  <si>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</si>
  <si>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</si>
  <si>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</si>
  <si>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</si>
  <si>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</si>
  <si>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</si>
  <si>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</si>
  <si>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</si>
  <si>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</si>
  <si>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</si>
  <si>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</si>
  <si>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</si>
  <si>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</si>
  <si>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</si>
  <si>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</si>
  <si>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</si>
  <si>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</si>
  <si>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</si>
  <si>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</si>
  <si>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</si>
  <si>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</si>
  <si>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</si>
  <si>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</si>
  <si>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</si>
  <si>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</si>
  <si>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</si>
  <si>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</si>
  <si>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</si>
  <si>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</si>
  <si>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</si>
  <si>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</si>
  <si>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</si>
  <si>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</si>
  <si>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</si>
  <si>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</si>
  <si>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</si>
  <si>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</si>
  <si>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</si>
  <si>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</si>
  <si>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</si>
  <si>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</si>
  <si>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</si>
  <si>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</si>
  <si>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</si>
  <si>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</si>
  <si>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</si>
  <si>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</si>
  <si>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</si>
  <si>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</si>
  <si>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</si>
  <si>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</si>
  <si>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</si>
  <si>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</si>
  <si>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</si>
  <si>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</si>
  <si>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</si>
  <si>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</si>
  <si>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</si>
  <si>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</si>
  <si>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</si>
  <si>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</si>
  <si>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</si>
  <si>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</si>
  <si>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</si>
  <si>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</si>
  <si>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</si>
  <si>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</si>
  <si>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</si>
  <si>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</si>
  <si>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</si>
  <si>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</si>
  <si>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</si>
  <si>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</si>
  <si>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</si>
  <si>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</si>
  <si>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</si>
  <si>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</si>
  <si>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</si>
  <si>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</si>
  <si>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</si>
  <si>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</si>
  <si>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</si>
  <si>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</si>
  <si>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</si>
  <si>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</si>
  <si>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</si>
  <si>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</si>
  <si>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</si>
  <si>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</si>
  <si>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</si>
  <si>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</si>
  <si>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</si>
  <si>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</si>
  <si>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</si>
  <si>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</si>
  <si>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</si>
  <si>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</si>
  <si>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</si>
  <si>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</si>
  <si>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</si>
  <si>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</si>
  <si>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</si>
  <si>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</si>
  <si>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</si>
  <si>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</si>
  <si>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</si>
  <si>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</si>
  <si>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</si>
  <si>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</si>
  <si>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</si>
  <si>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</si>
  <si>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</si>
  <si>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</si>
  <si>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</si>
  <si>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</si>
  <si>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</si>
  <si>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</si>
  <si>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</si>
  <si>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</si>
  <si>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</si>
  <si>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</si>
  <si>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</si>
  <si>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</si>
  <si>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</si>
  <si>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</si>
  <si>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</si>
  <si>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</si>
  <si>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</si>
  <si>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</si>
  <si>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</si>
  <si>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</si>
  <si>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</si>
  <si>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</si>
  <si>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</si>
  <si>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</si>
  <si>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</si>
  <si>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</si>
  <si>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</si>
  <si>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</si>
  <si>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</si>
  <si>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</si>
  <si>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</si>
  <si>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</si>
  <si>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</si>
  <si>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</si>
  <si>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</si>
  <si>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</si>
  <si>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</si>
  <si>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</si>
  <si>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</si>
  <si>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</si>
  <si>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</si>
  <si>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</si>
  <si>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</si>
  <si>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</si>
  <si>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</si>
  <si>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</si>
  <si>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</si>
  <si>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</si>
  <si>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</si>
  <si>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</si>
  <si>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</si>
  <si>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</si>
  <si>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</si>
  <si>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</si>
  <si>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</si>
  <si>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</si>
  <si>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</si>
  <si>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</si>
  <si>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</si>
  <si>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</si>
  <si>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</si>
  <si>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</si>
  <si>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</si>
  <si>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</si>
  <si>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</si>
  <si>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</si>
  <si>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</si>
  <si>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</si>
  <si>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</si>
  <si>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</si>
  <si>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</si>
  <si>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</si>
  <si>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</si>
  <si>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</si>
  <si>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</si>
  <si>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</si>
  <si>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</si>
  <si>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</si>
  <si>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</si>
  <si>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</si>
  <si>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</si>
  <si>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</si>
  <si>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</si>
  <si>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</si>
  <si>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</si>
  <si>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</si>
  <si>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</si>
  <si>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</si>
  <si>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</si>
  <si>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</si>
  <si>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</si>
  <si>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</si>
  <si>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</si>
  <si>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</si>
  <si>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</si>
  <si>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</si>
  <si>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</si>
  <si>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</si>
  <si>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</si>
  <si>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</si>
  <si>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</si>
  <si>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</si>
  <si>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</si>
  <si>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</si>
  <si>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</si>
  <si>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</si>
  <si>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</si>
  <si>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</si>
  <si>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</si>
  <si>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</si>
  <si>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</si>
  <si>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</si>
  <si>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</si>
  <si>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</si>
  <si>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</si>
  <si>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</si>
  <si>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</si>
  <si>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</si>
  <si>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</si>
  <si>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</si>
  <si>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</si>
  <si>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</si>
  <si>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</si>
  <si>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</si>
  <si>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</si>
  <si>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</si>
  <si>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</si>
  <si>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</si>
  <si>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</si>
  <si>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</si>
  <si>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</si>
  <si>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</si>
  <si>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</si>
  <si>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</si>
  <si>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</si>
  <si>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</si>
  <si>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</si>
  <si>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</si>
  <si>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</si>
  <si>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</si>
  <si>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</si>
  <si>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</si>
  <si>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</si>
  <si>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</si>
  <si>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</si>
  <si>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</si>
  <si>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</si>
  <si>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</si>
  <si>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</si>
  <si>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</si>
  <si>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</si>
  <si>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</si>
  <si>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</si>
  <si>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</si>
  <si>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</si>
  <si>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</si>
  <si>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</si>
  <si>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</si>
  <si>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</si>
  <si>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</si>
  <si>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</si>
  <si>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</si>
  <si>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</si>
  <si>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</si>
  <si>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</si>
  <si>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</si>
  <si>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</si>
  <si>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</si>
  <si>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</si>
  <si>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</si>
  <si>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</si>
  <si>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</si>
  <si>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</si>
  <si>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</si>
  <si>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</si>
  <si>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</si>
  <si>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</si>
  <si>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</si>
  <si>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</si>
  <si>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</si>
  <si>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</si>
  <si>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</si>
  <si>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</si>
  <si>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</si>
  <si>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</si>
  <si>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</si>
  <si>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</si>
  <si>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</si>
  <si>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</si>
  <si>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</si>
  <si>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</si>
  <si>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</si>
  <si>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</si>
  <si>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</si>
  <si>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</si>
  <si>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</si>
  <si>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</si>
  <si>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</si>
  <si>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</si>
  <si>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</si>
  <si>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</si>
  <si>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</si>
  <si>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</si>
  <si>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</si>
  <si>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</si>
  <si>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</si>
  <si>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</si>
  <si>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</si>
  <si>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</si>
  <si>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</si>
  <si>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</si>
  <si>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</si>
  <si>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</si>
  <si>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</si>
  <si>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</si>
  <si>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</si>
  <si>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</si>
  <si>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</si>
  <si>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</si>
  <si>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</si>
  <si>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</si>
  <si>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</si>
  <si>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</si>
  <si>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</si>
  <si>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</si>
  <si>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</si>
  <si>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</si>
  <si>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</si>
  <si>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</si>
  <si>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</si>
  <si>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</si>
  <si>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</si>
  <si>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</si>
  <si>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</si>
  <si>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</si>
  <si>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</si>
  <si>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</si>
  <si>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</si>
  <si>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</si>
  <si>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</si>
  <si>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</si>
  <si>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</si>
  <si>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</si>
  <si>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</si>
  <si>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</si>
  <si>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</si>
  <si>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</si>
  <si>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</si>
  <si>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</si>
  <si>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</si>
  <si>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</si>
  <si>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</si>
  <si>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</si>
  <si>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</si>
  <si>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</si>
  <si>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</si>
  <si>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</si>
  <si>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</si>
  <si>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</si>
  <si>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</si>
  <si>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</si>
  <si>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</si>
  <si>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</si>
  <si>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</si>
  <si>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</si>
  <si>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</si>
  <si>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</si>
  <si>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</si>
  <si>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</si>
  <si>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</si>
  <si>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</si>
  <si>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</si>
  <si>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</si>
  <si>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</si>
  <si>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</si>
  <si>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</si>
  <si>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</si>
  <si>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</si>
  <si>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</si>
  <si>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</si>
  <si>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</si>
  <si>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</si>
  <si>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</si>
  <si>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</si>
  <si>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</si>
  <si>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</si>
  <si>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</si>
  <si>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</si>
  <si>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</si>
  <si>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</si>
  <si>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</si>
  <si>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</si>
  <si>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</si>
  <si>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</si>
  <si>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</si>
  <si>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</si>
  <si>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</si>
  <si>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</si>
  <si>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</si>
  <si>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</si>
  <si>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</si>
  <si>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</si>
  <si>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</si>
  <si>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</si>
  <si>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</si>
  <si>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</si>
  <si>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</si>
  <si>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</si>
  <si>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</si>
  <si>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</si>
  <si>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</si>
  <si>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</si>
  <si>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</si>
  <si>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</si>
  <si>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</si>
  <si>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</si>
  <si>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</si>
  <si>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</si>
  <si>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</si>
  <si>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</si>
  <si>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</si>
  <si>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</si>
  <si>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</si>
  <si>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</si>
  <si>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</si>
  <si>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</si>
  <si>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</si>
  <si>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</si>
  <si>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</si>
  <si>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</si>
  <si>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</si>
  <si>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</si>
  <si>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</si>
  <si>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</si>
  <si>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</si>
  <si>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</si>
  <si>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</si>
  <si>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</si>
  <si>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</si>
  <si>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</si>
  <si>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</si>
  <si>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</si>
  <si>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</si>
  <si>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</si>
  <si>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</si>
  <si>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</si>
  <si>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</si>
  <si>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</si>
  <si>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</si>
  <si>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</si>
  <si>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</si>
  <si>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</si>
  <si>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</si>
  <si>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</si>
  <si>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</si>
  <si>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</si>
  <si>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</si>
  <si>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</si>
  <si>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</si>
  <si>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ALEXANDRE ALAMAN</t>
  </si>
  <si>
    <t xml:space="preserve">L'AVEYRON</t>
  </si>
  <si>
    <t xml:space="preserve">L'AVEYRON A FLOIRAC</t>
  </si>
  <si>
    <t xml:space="preserve">05126000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</si>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</sst>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11.0967741935484</v>
      </c>
      <c r="N5" s="324"/>
      <c r="O5" s="325" t="s">
        <v>195</v>
      </c>
      <c r="P5" s="326" t="n">
        <v>10.16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58</v>
      </c>
      <c r="C7" s="342" t="n">
        <v>42</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10.5384615384615</v>
      </c>
      <c r="P8" s="356" t="n">
        <f aca="false">IF(ISERROR(AVERAGE(K23:K82)),"  ",AVERAGE(K23:K82))</f>
        <v>1.69230769230769</v>
      </c>
      <c r="Q8" s="357"/>
      <c r="R8" s="281"/>
      <c r="S8" s="281"/>
      <c r="T8" s="281"/>
      <c r="U8" s="281"/>
      <c r="V8" s="281"/>
      <c r="W8" s="295"/>
      <c r="X8" s="0"/>
      <c r="Y8" s="0"/>
      <c r="Z8" s="0"/>
    </row>
    <row r="9" customFormat="false" ht="12.75" hidden="false" customHeight="false" outlineLevel="0" collapsed="false">
      <c r="A9" s="314" t="s">
        <v>3399</v>
      </c>
      <c r="B9" s="358" t="n">
        <v>10</v>
      </c>
      <c r="C9" s="359" t="n">
        <v>3</v>
      </c>
      <c r="D9" s="360"/>
      <c r="E9" s="360"/>
      <c r="F9" s="361" t="n">
        <f aca="false">($B9*$B$7+$C9*$C$7)/100</f>
        <v>7.06</v>
      </c>
      <c r="G9" s="362"/>
      <c r="H9" s="317"/>
      <c r="I9" s="281"/>
      <c r="J9" s="363"/>
      <c r="K9" s="364"/>
      <c r="L9" s="347"/>
      <c r="M9" s="365"/>
      <c r="N9" s="355" t="s">
        <v>3400</v>
      </c>
      <c r="O9" s="356" t="n">
        <f aca="false">IF(ISERROR(STDEVP(J23:J82))," ",STDEVP(J23:J82))</f>
        <v>3.52169942838757</v>
      </c>
      <c r="P9" s="356" t="n">
        <f aca="false">IF(ISERROR(STDEVP(K23:K82)),"  ",STDEVP(K23:K82))</f>
        <v>0.72160242458822</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5</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7</v>
      </c>
      <c r="M13" s="381"/>
      <c r="N13" s="389" t="s">
        <v>3413</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0.866666666666667</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10.3</v>
      </c>
      <c r="C20" s="433" t="n">
        <f aca="false">SUM(C23:C82)</f>
        <v>3.565</v>
      </c>
      <c r="D20" s="434"/>
      <c r="E20" s="435" t="s">
        <v>3426</v>
      </c>
      <c r="F20" s="436" t="n">
        <f aca="false">($B20*$B$7+$C20*$C$7)/100</f>
        <v>7.4713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5.974</v>
      </c>
      <c r="C21" s="444" t="n">
        <f aca="false">C20*C7/100</f>
        <v>1.4973</v>
      </c>
      <c r="D21" s="445" t="s">
        <v>3429</v>
      </c>
      <c r="E21" s="446"/>
      <c r="F21" s="447" t="n">
        <f aca="false">B21+C21</f>
        <v>7.4713</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2</v>
      </c>
      <c r="C23" s="473" t="n">
        <v>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1.37</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1.37</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5</v>
      </c>
      <c r="C24" s="491" t="n">
        <v>2</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3.74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3.74</v>
      </c>
      <c r="S24" s="485" t="n">
        <f aca="false">IF(OR(ISTEXT(H24),R24=0),"",IF(R24&lt;0.1,1,IF(R24&lt;1,2,IF(R24&lt;10,3,IF(R24&lt;50,4,IF(R24&gt;=50,5,""))))))</f>
        <v>3</v>
      </c>
      <c r="T24" s="485" t="n">
        <f aca="false">IF(ISERROR(S24*J24),0,S24*J24)</f>
        <v>45</v>
      </c>
      <c r="U24" s="485" t="n">
        <f aca="false">IF(ISERROR(S24*J24*K24),0,S24*J24*K24)</f>
        <v>90</v>
      </c>
      <c r="V24" s="501" t="n">
        <f aca="false">IF(ISERROR(S24*K24),0,S24*K24)</f>
        <v>6</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3</v>
      </c>
      <c r="C25" s="491" t="n">
        <v>1</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2.16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2.16</v>
      </c>
      <c r="S25" s="485" t="n">
        <f aca="false">IF(OR(ISTEXT(H25),R25=0),"",IF(R25&lt;0.1,1,IF(R25&lt;1,2,IF(R25&lt;10,3,IF(R25&lt;50,4,IF(R25&gt;=50,5,""))))))</f>
        <v>3</v>
      </c>
      <c r="T25" s="485" t="n">
        <f aca="false">IF(ISERROR(S25*J25),0,S25*J25)</f>
        <v>30</v>
      </c>
      <c r="U25" s="485" t="n">
        <f aca="false">IF(ISERROR(S25*J25*K25),0,S25*J25*K25)</f>
        <v>30</v>
      </c>
      <c r="V25" s="501" t="n">
        <f aca="false">IF(ISERROR(S25*K25),0,S25*K25)</f>
        <v>3</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306</v>
      </c>
      <c r="B26" s="490" t="n">
        <v>0.005</v>
      </c>
      <c r="C26" s="491"/>
      <c r="D26" s="492" t="str">
        <f aca="false">IF(ISERROR(VLOOKUP($A26,'liste reference'!$A$6:$B$1174,2,0)),IF(ISERROR(VLOOKUP($A26,'liste reference'!$B$6:$B$1174,1,0)),"",VLOOKUP($A26,'liste reference'!$B$6:$B$1174,1,0)),VLOOKUP($A26,'liste reference'!$A$6:$B$1174,2,0))</f>
        <v>Paralemanea sp.</v>
      </c>
      <c r="E26" s="493" t="e">
        <f aca="false">IF(D26="",0,VLOOKUP(D26,D$22:D25,1,0))</f>
        <v>#N/A</v>
      </c>
      <c r="F26" s="494" t="n">
        <f aca="false">IF(AND(OR(A26="",A26="!!!!!!"),B26="",C26=""),"",IF(OR(AND(B26="",C26=""),ISERROR(C26+B26)),"!!!",($B26*$B$7+$C26*$C$7)/100))</f>
        <v>0.0029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Paralemanea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31566</v>
      </c>
      <c r="R26" s="484" t="n">
        <f aca="false">IF(ISTEXT(H26),"",(B26*$B$7/100)+(C26*$C$7/100))</f>
        <v>0.0029</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PAASPX</v>
      </c>
      <c r="Z26" s="470" t="n">
        <f aca="false">IF(ISERROR(MATCH(A26,'liste reference'!$A$6:$A$1174,0)),IF(ISERROR(MATCH(A26,'liste reference'!$B$6:$B$1174,0)),"",(MATCH(A26,'liste reference'!$B$6:$B$1174,0))),(MATCH(A26,'liste reference'!$A$6:$A$1174,0)))</f>
        <v>87</v>
      </c>
    </row>
    <row r="27" customFormat="false" ht="12.75" hidden="false" customHeight="false" outlineLevel="0" collapsed="false">
      <c r="A27" s="489" t="s">
        <v>355</v>
      </c>
      <c r="B27" s="490" t="n">
        <v>0.005</v>
      </c>
      <c r="C27" s="491"/>
      <c r="D27" s="492" t="str">
        <f aca="false">IF(ISERROR(VLOOKUP($A27,'liste reference'!$A$6:$B$1174,2,0)),IF(ISERROR(VLOOKUP($A27,'liste reference'!$B$6:$B$1174,1,0)),"",VLOOKUP($A27,'liste reference'!$B$6:$B$1174,1,0)),VLOOKUP($A27,'liste reference'!$A$6:$B$1174,2,0))</f>
        <v>Tetraspora sp.</v>
      </c>
      <c r="E27" s="493" t="e">
        <f aca="false">IF(D27="",0,VLOOKUP(D27,D$22:D26,1,0))</f>
        <v>#N/A</v>
      </c>
      <c r="F27" s="494" t="n">
        <f aca="false">IF(AND(OR(A27="",A27="!!!!!!"),B27="",C27=""),"",IF(OR(AND(B27="",C27=""),ISERROR(C27+B27)),"!!!",($B27*$B$7+$C27*$C$7)/100))</f>
        <v>0.0029</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Tetraspora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1138</v>
      </c>
      <c r="R27" s="484" t="n">
        <f aca="false">IF(ISTEXT(H27),"",(B27*$B$7/100)+(C27*$C$7/100))</f>
        <v>0.0029</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TETSPX</v>
      </c>
      <c r="Z27" s="470" t="n">
        <f aca="false">IF(ISERROR(MATCH(A27,'liste reference'!$A$6:$A$1174,0)),IF(ISERROR(MATCH(A27,'liste reference'!$B$6:$B$1174,0)),"",(MATCH(A27,'liste reference'!$B$6:$B$1174,0))),(MATCH(A27,'liste reference'!$A$6:$A$1174,0)))</f>
        <v>107</v>
      </c>
    </row>
    <row r="28" customFormat="false" ht="12.75" hidden="false" customHeight="false" outlineLevel="0" collapsed="false">
      <c r="A28" s="489" t="s">
        <v>712</v>
      </c>
      <c r="B28" s="490" t="n">
        <v>0.01</v>
      </c>
      <c r="C28" s="491"/>
      <c r="D28" s="492" t="str">
        <f aca="false">IF(ISERROR(VLOOKUP($A28,'liste reference'!$A$6:$B$1174,2,0)),IF(ISERROR(VLOOKUP($A28,'liste reference'!$B$6:$B$1174,1,0)),"",VLOOKUP($A28,'liste reference'!$B$6:$B$1174,1,0)),VLOOKUP($A28,'liste reference'!$A$6:$B$1174,2,0))</f>
        <v>Cinclidotus riparius</v>
      </c>
      <c r="E28" s="493" t="e">
        <f aca="false">IF(D28="",0,VLOOKUP(D28,D$22:D27,1,0))</f>
        <v>#N/A</v>
      </c>
      <c r="F28" s="494" t="n">
        <f aca="false">IF(AND(OR(A28="",A28="!!!!!!"),B28="",C28=""),"",IF(OR(AND(B28="",C28=""),ISERROR(C28+B28)),"!!!",($B28*$B$7+$C28*$C$7)/100))</f>
        <v>0.0058</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Cinclidotus riparius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1321</v>
      </c>
      <c r="R28" s="484" t="n">
        <f aca="false">IF(ISTEXT(H28),"",(B28*$B$7/100)+(C28*$C$7/100))</f>
        <v>0.0058</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CINRIP</v>
      </c>
      <c r="Z28" s="470" t="n">
        <f aca="false">IF(ISERROR(MATCH(A28,'liste reference'!$A$6:$A$1174,0)),IF(ISERROR(MATCH(A28,'liste reference'!$B$6:$B$1174,0)),"",(MATCH(A28,'liste reference'!$B$6:$B$1174,0))),(MATCH(A28,'liste reference'!$A$6:$A$1174,0)))</f>
        <v>224</v>
      </c>
    </row>
    <row r="29" customFormat="false" ht="12.75" hidden="false" customHeight="false" outlineLevel="0" collapsed="false">
      <c r="A29" s="489" t="s">
        <v>723</v>
      </c>
      <c r="B29" s="490" t="n">
        <v>0.01</v>
      </c>
      <c r="C29" s="491"/>
      <c r="D29" s="492" t="str">
        <f aca="false">IF(ISERROR(VLOOKUP($A29,'liste reference'!$A$6:$B$1174,2,0)),IF(ISERROR(VLOOKUP($A29,'liste reference'!$B$6:$B$1174,1,0)),"",VLOOKUP($A29,'liste reference'!$B$6:$B$1174,1,0)),VLOOKUP($A29,'liste reference'!$A$6:$B$1174,2,0))</f>
        <v>Cratoneuron filicinum</v>
      </c>
      <c r="E29" s="493" t="e">
        <f aca="false">IF(D29="",0,VLOOKUP(D29,D$22:D28,1,0))</f>
        <v>#N/A</v>
      </c>
      <c r="F29" s="494" t="n">
        <f aca="false">IF(AND(OR(A29="",A29="!!!!!!"),B29="",C29=""),"",IF(OR(AND(B29="",C29=""),ISERROR(C29+B29)),"!!!",($B29*$B$7+$C29*$C$7)/100))</f>
        <v>0.0058</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18</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Cratoneuron filicinum</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1233</v>
      </c>
      <c r="R29" s="484" t="n">
        <f aca="false">IF(ISTEXT(H29),"",(B29*$B$7/100)+(C29*$C$7/100))</f>
        <v>0.0058</v>
      </c>
      <c r="S29" s="485" t="n">
        <f aca="false">IF(OR(ISTEXT(H29),R29=0),"",IF(R29&lt;0.1,1,IF(R29&lt;1,2,IF(R29&lt;10,3,IF(R29&lt;50,4,IF(R29&gt;=50,5,""))))))</f>
        <v>1</v>
      </c>
      <c r="T29" s="485" t="n">
        <f aca="false">IF(ISERROR(S29*J29),0,S29*J29)</f>
        <v>18</v>
      </c>
      <c r="U29" s="485" t="n">
        <f aca="false">IF(ISERROR(S29*J29*K29),0,S29*J29*K29)</f>
        <v>54</v>
      </c>
      <c r="V29" s="501" t="n">
        <f aca="false">IF(ISERROR(S29*K29),0,S29*K29)</f>
        <v>3</v>
      </c>
      <c r="W29" s="502"/>
      <c r="X29" s="503"/>
      <c r="Y29" s="488" t="str">
        <f aca="false">IF(AND(ISNUMBER(F29),OR(A29="",A29="!!!!!!")),"!!!!!!",IF(A29="new.cod","NEWCOD",IF(AND((Z29=""),ISTEXT(A29),A29&lt;&gt;"!!!!!!"),A29,IF(Z29="","",INDEX('liste reference'!$A$6:$A$1174,Z29)))))</f>
        <v>CRAFIL</v>
      </c>
      <c r="Z29" s="470" t="n">
        <f aca="false">IF(ISERROR(MATCH(A29,'liste reference'!$A$6:$A$1174,0)),IF(ISERROR(MATCH(A29,'liste reference'!$B$6:$B$1174,0)),"",(MATCH(A29,'liste reference'!$B$6:$B$1174,0))),(MATCH(A29,'liste reference'!$A$6:$A$1174,0)))</f>
        <v>227</v>
      </c>
    </row>
    <row r="30" customFormat="false" ht="12.75" hidden="false" customHeight="false" outlineLevel="0" collapsed="false">
      <c r="A30" s="489" t="s">
        <v>830</v>
      </c>
      <c r="B30" s="490" t="n">
        <v>0.005</v>
      </c>
      <c r="C30" s="491"/>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0.0029</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0.0029</v>
      </c>
      <c r="S30" s="485" t="n">
        <f aca="false">IF(OR(ISTEXT(H30),R30=0),"",IF(R30&lt;0.1,1,IF(R30&lt;1,2,IF(R30&lt;10,3,IF(R30&lt;50,4,IF(R30&gt;=50,5,""))))))</f>
        <v>1</v>
      </c>
      <c r="T30" s="485" t="n">
        <f aca="false">IF(ISERROR(S30*J30),0,S30*J30)</f>
        <v>12</v>
      </c>
      <c r="U30" s="485" t="n">
        <f aca="false">IF(ISERROR(S30*J30*K30),0,S30*J30*K30)</f>
        <v>24</v>
      </c>
      <c r="V30" s="501" t="n">
        <f aca="false">IF(ISERROR(S30*K30),0,S30*K30)</f>
        <v>2</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844</v>
      </c>
      <c r="B31" s="490" t="n">
        <v>0.005</v>
      </c>
      <c r="C31" s="491"/>
      <c r="D31" s="492" t="str">
        <f aca="false">IF(ISERROR(VLOOKUP($A31,'liste reference'!$A$6:$B$1174,2,0)),IF(ISERROR(VLOOKUP($A31,'liste reference'!$B$6:$B$1174,1,0)),"",VLOOKUP($A31,'liste reference'!$B$6:$B$1174,1,0)),VLOOKUP($A31,'liste reference'!$A$6:$B$1174,2,0))</f>
        <v>Fissidens fontanus</v>
      </c>
      <c r="E31" s="493" t="e">
        <f aca="false">IF(D31="",0,VLOOKUP(D31,D$22:D30,1,0))</f>
        <v>#N/A</v>
      </c>
      <c r="F31" s="494" t="n">
        <f aca="false">IF(AND(OR(A31="",A31="!!!!!!"),B31="",C31=""),"",IF(OR(AND(B31="",C31=""),ISERROR(C31+B31)),"!!!",($B31*$B$7+$C31*$C$7)/100))</f>
        <v>0.0029</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7</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fontanus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31545</v>
      </c>
      <c r="R31" s="484" t="n">
        <f aca="false">IF(ISTEXT(H31),"",(B31*$B$7/100)+(C31*$C$7/100))</f>
        <v>0.0029</v>
      </c>
      <c r="S31" s="485" t="n">
        <f aca="false">IF(OR(ISTEXT(H31),R31=0),"",IF(R31&lt;0.1,1,IF(R31&lt;1,2,IF(R31&lt;10,3,IF(R31&lt;50,4,IF(R31&gt;=50,5,""))))))</f>
        <v>1</v>
      </c>
      <c r="T31" s="485" t="n">
        <f aca="false">IF(ISERROR(S31*J31),0,S31*J31)</f>
        <v>7</v>
      </c>
      <c r="U31" s="485" t="n">
        <f aca="false">IF(ISERROR(S31*J31*K31),0,S31*J31*K31)</f>
        <v>21</v>
      </c>
      <c r="V31" s="501" t="n">
        <f aca="false">IF(ISERROR(S31*K31),0,S31*K31)</f>
        <v>3</v>
      </c>
      <c r="W31" s="502"/>
      <c r="X31" s="503"/>
      <c r="Y31" s="488" t="str">
        <f aca="false">IF(AND(ISNUMBER(F31),OR(A31="",A31="!!!!!!")),"!!!!!!",IF(A31="new.cod","NEWCOD",IF(AND((Z31=""),ISTEXT(A31),A31&lt;&gt;"!!!!!!"),A31,IF(Z31="","",INDEX('liste reference'!$A$6:$A$1174,Z31)))))</f>
        <v>FISFON</v>
      </c>
      <c r="Z31" s="470" t="n">
        <f aca="false">IF(ISERROR(MATCH(A31,'liste reference'!$A$6:$A$1174,0)),IF(ISERROR(MATCH(A31,'liste reference'!$B$6:$B$1174,0)),"",(MATCH(A31,'liste reference'!$B$6:$B$1174,0))),(MATCH(A31,'liste reference'!$A$6:$A$1174,0)))</f>
        <v>259</v>
      </c>
    </row>
    <row r="32" customFormat="false" ht="12.75" hidden="false" customHeight="false" outlineLevel="0" collapsed="false">
      <c r="A32" s="489" t="s">
        <v>889</v>
      </c>
      <c r="B32" s="490" t="n">
        <v>0.005</v>
      </c>
      <c r="C32" s="491"/>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0.0029</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0.0029</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974</v>
      </c>
      <c r="B33" s="490" t="n">
        <v>0.05</v>
      </c>
      <c r="C33" s="491"/>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0.029</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0.029</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1122</v>
      </c>
      <c r="B34" s="490" t="n">
        <v>0.2</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0.116</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0.116</v>
      </c>
      <c r="S34" s="485" t="n">
        <f aca="false">IF(OR(ISTEXT(H34),R34=0),"",IF(R34&lt;0.1,1,IF(R34&lt;1,2,IF(R34&lt;10,3,IF(R34&lt;50,4,IF(R34&gt;=50,5,""))))))</f>
        <v>2</v>
      </c>
      <c r="T34" s="485" t="n">
        <f aca="false">IF(ISERROR(S34*J34),0,S34*J34)</f>
        <v>24</v>
      </c>
      <c r="U34" s="485" t="n">
        <f aca="false">IF(ISERROR(S34*J34*K34),0,S34*J34*K34)</f>
        <v>24</v>
      </c>
      <c r="V34" s="501" t="n">
        <f aca="false">IF(ISERROR(S34*K34),0,S34*K34)</f>
        <v>2</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1557</v>
      </c>
      <c r="B35" s="490" t="n">
        <v>0.005</v>
      </c>
      <c r="C35" s="491" t="n">
        <v>0.05</v>
      </c>
      <c r="D35" s="492" t="str">
        <f aca="false">IF(ISERROR(VLOOKUP($A35,'liste reference'!$A$6:$B$1174,2,0)),IF(ISERROR(VLOOKUP($A35,'liste reference'!$B$6:$B$1174,1,0)),"",VLOOKUP($A35,'liste reference'!$B$6:$B$1174,1,0)),VLOOKUP($A35,'liste reference'!$A$6:$B$1174,2,0))</f>
        <v>Myriophyllum spicatum</v>
      </c>
      <c r="E35" s="493" t="e">
        <f aca="false">IF(D35="",0,VLOOKUP(D35,D$22:D34,1,0))</f>
        <v>#N/A</v>
      </c>
      <c r="F35" s="494" t="n">
        <f aca="false">IF(AND(OR(A35="",A35="!!!!!!"),B35="",C35=""),"",IF(OR(AND(B35="",C35=""),ISERROR(C35+B35)),"!!!",($B35*$B$7+$C35*$C$7)/100))</f>
        <v>0.0239</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Myriophyllum spicatum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1778</v>
      </c>
      <c r="R35" s="484" t="n">
        <f aca="false">IF(ISTEXT(H35),"",(B35*$B$7/100)+(C35*$C$7/100))</f>
        <v>0.0239</v>
      </c>
      <c r="S35" s="485" t="n">
        <f aca="false">IF(OR(ISTEXT(H35),R35=0),"",IF(R35&lt;0.1,1,IF(R35&lt;1,2,IF(R35&lt;10,3,IF(R35&lt;50,4,IF(R35&gt;=50,5,""))))))</f>
        <v>1</v>
      </c>
      <c r="T35" s="485" t="n">
        <f aca="false">IF(ISERROR(S35*J35),0,S35*J35)</f>
        <v>8</v>
      </c>
      <c r="U35" s="485" t="n">
        <f aca="false">IF(ISERROR(S35*J35*K35),0,S35*J35*K35)</f>
        <v>16</v>
      </c>
      <c r="V35" s="501" t="n">
        <f aca="false">IF(ISERROR(S35*K35),0,S35*K35)</f>
        <v>2</v>
      </c>
      <c r="W35" s="502"/>
      <c r="X35" s="503"/>
      <c r="Y35" s="488" t="str">
        <f aca="false">IF(AND(ISNUMBER(F35),OR(A35="",A35="!!!!!!")),"!!!!!!",IF(A35="new.cod","NEWCOD",IF(AND((Z35=""),ISTEXT(A35),A35&lt;&gt;"!!!!!!"),A35,IF(Z35="","",INDEX('liste reference'!$A$6:$A$1174,Z35)))))</f>
        <v>MYRSPI</v>
      </c>
      <c r="Z35" s="470" t="n">
        <f aca="false">IF(ISERROR(MATCH(A35,'liste reference'!$A$6:$A$1174,0)),IF(ISERROR(MATCH(A35,'liste reference'!$B$6:$B$1174,0)),"",(MATCH(A35,'liste reference'!$B$6:$B$1174,0))),(MATCH(A35,'liste reference'!$A$6:$A$1174,0)))</f>
        <v>486</v>
      </c>
    </row>
    <row r="36" customFormat="false" ht="12.75" hidden="false" customHeight="false" outlineLevel="0" collapsed="false">
      <c r="A36" s="489" t="s">
        <v>2193</v>
      </c>
      <c r="B36" s="490"/>
      <c r="C36" s="491" t="n">
        <v>0.01</v>
      </c>
      <c r="D36" s="492" t="str">
        <f aca="false">IF(ISERROR(VLOOKUP($A36,'liste reference'!$A$6:$B$1174,2,0)),IF(ISERROR(VLOOKUP($A36,'liste reference'!$B$6:$B$1174,1,0)),"",VLOOKUP($A36,'liste reference'!$B$6:$B$1174,1,0)),VLOOKUP($A36,'liste reference'!$A$6:$B$1174,2,0))</f>
        <v>Rorippa amphibia</v>
      </c>
      <c r="E36" s="493" t="e">
        <f aca="false">IF(D36="",0,VLOOKUP(D36,D$22:D35,1,0))</f>
        <v>#N/A</v>
      </c>
      <c r="F36" s="494" t="n">
        <f aca="false">IF(AND(OR(A36="",A36="!!!!!!"),B36="",C36=""),"",IF(OR(AND(B36="",C36=""),ISERROR(C36+B36)),"!!!",($B36*$B$7+$C36*$C$7)/100))</f>
        <v>0.0042</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9</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Rorippa amphibia</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1765</v>
      </c>
      <c r="R36" s="484" t="n">
        <f aca="false">IF(ISTEXT(H36),"",(B36*$B$7/100)+(C36*$C$7/100))</f>
        <v>0.0042</v>
      </c>
      <c r="S36" s="485" t="n">
        <f aca="false">IF(OR(ISTEXT(H36),R36=0),"",IF(R36&lt;0.1,1,IF(R36&lt;1,2,IF(R36&lt;10,3,IF(R36&lt;50,4,IF(R36&gt;=50,5,""))))))</f>
        <v>1</v>
      </c>
      <c r="T36" s="485" t="n">
        <f aca="false">IF(ISERROR(S36*J36),0,S36*J36)</f>
        <v>9</v>
      </c>
      <c r="U36" s="485" t="n">
        <f aca="false">IF(ISERROR(S36*J36*K36),0,S36*J36*K36)</f>
        <v>9</v>
      </c>
      <c r="V36" s="501" t="n">
        <f aca="false">IF(ISERROR(S36*K36),0,S36*K36)</f>
        <v>1</v>
      </c>
      <c r="W36" s="502"/>
      <c r="X36" s="503"/>
      <c r="Y36" s="488" t="str">
        <f aca="false">IF(AND(ISNUMBER(F36),OR(A36="",A36="!!!!!!")),"!!!!!!",IF(A36="new.cod","NEWCOD",IF(AND((Z36=""),ISTEXT(A36),A36&lt;&gt;"!!!!!!"),A36,IF(Z36="","",INDEX('liste reference'!$A$6:$A$1174,Z36)))))</f>
        <v>RORAMP</v>
      </c>
      <c r="Z36" s="470" t="n">
        <f aca="false">IF(ISERROR(MATCH(A36,'liste reference'!$A$6:$A$1174,0)),IF(ISERROR(MATCH(A36,'liste reference'!$B$6:$B$1174,0)),"",(MATCH(A36,'liste reference'!$B$6:$B$1174,0))),(MATCH(A36,'liste reference'!$A$6:$A$1174,0)))</f>
        <v>716</v>
      </c>
    </row>
    <row r="37" customFormat="false" ht="12.75" hidden="false" customHeight="false" outlineLevel="0" collapsed="false">
      <c r="A37" s="489" t="s">
        <v>2688</v>
      </c>
      <c r="B37" s="490"/>
      <c r="C37" s="491" t="n">
        <v>0.005</v>
      </c>
      <c r="D37" s="492" t="str">
        <f aca="false">IF(ISERROR(VLOOKUP($A37,'liste reference'!$A$6:$B$1174,2,0)),IF(ISERROR(VLOOKUP($A37,'liste reference'!$B$6:$B$1174,1,0)),"",VLOOKUP($A37,'liste reference'!$B$6:$B$1174,1,0)),VLOOKUP($A37,'liste reference'!$A$6:$B$1174,2,0))</f>
        <v>Lysimachia vulgaris</v>
      </c>
      <c r="E37" s="493" t="e">
        <f aca="false">IF(D37="",0,VLOOKUP(D37,D$22:D36,1,0))</f>
        <v>#N/A</v>
      </c>
      <c r="F37" s="494" t="n">
        <f aca="false">IF(AND(OR(A37="",A37="!!!!!!"),B37="",C37=""),"",IF(OR(AND(B37="",C37=""),ISERROR(C37+B37)),"!!!",($B37*$B$7+$C37*$C$7)/100))</f>
        <v>0.0021</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Lysimachia vulgaris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1887</v>
      </c>
      <c r="R37" s="484" t="n">
        <f aca="false">IF(ISTEXT(H37),"",(B37*$B$7/100)+(C37*$C$7/100))</f>
        <v>0.0021</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LYSVUL</v>
      </c>
      <c r="Z37" s="470" t="n">
        <f aca="false">IF(ISERROR(MATCH(A37,'liste reference'!$A$6:$A$1174,0)),IF(ISERROR(MATCH(A37,'liste reference'!$B$6:$B$1174,0)),"",(MATCH(A37,'liste reference'!$B$6:$B$1174,0))),(MATCH(A37,'liste reference'!$A$6:$A$1174,0)))</f>
        <v>899</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7.4713</v>
      </c>
      <c r="G83" s="424"/>
      <c r="H83" s="424"/>
      <c r="I83" s="424"/>
      <c r="J83" s="424"/>
      <c r="K83" s="424"/>
      <c r="L83" s="424"/>
      <c r="M83" s="485"/>
      <c r="N83" s="485"/>
      <c r="O83" s="485"/>
      <c r="P83" s="485"/>
      <c r="Q83" s="485"/>
      <c r="R83" s="485"/>
      <c r="S83" s="485"/>
      <c r="T83" s="485"/>
      <c r="U83" s="485"/>
      <c r="V83" s="485" t="n">
        <f aca="false">SUM(V23:V82)</f>
        <v>31</v>
      </c>
      <c r="W83" s="485"/>
      <c r="X83" s="523"/>
      <c r="Y83" s="523"/>
      <c r="Z83" s="524"/>
    </row>
    <row r="84" customFormat="false" ht="12.75" hidden="true" customHeight="false" outlineLevel="0" collapsed="false">
      <c r="A84" s="518" t="str">
        <f aca="false">A3</f>
        <v>L'AVEYRON</v>
      </c>
      <c r="B84" s="453" t="str">
        <f aca="false">C3</f>
        <v>L'AVEYRON A FLOIRAC</v>
      </c>
      <c r="C84" s="525" t="str">
        <f aca="false">A4</f>
        <v>(Date)</v>
      </c>
      <c r="D84" s="526" t="n">
        <f aca="false">IF(OR(ISERROR(SUM($U$23:$U$82)/SUM($V$23:$V$82)),F7&lt;&gt;100),-1,SUM($U$23:$U$82)/SUM($V$23:$V$82))</f>
        <v>11.0967741935484</v>
      </c>
      <c r="E84" s="527" t="n">
        <f aca="false">O13</f>
        <v>15</v>
      </c>
      <c r="F84" s="453" t="n">
        <f aca="false">O14</f>
        <v>13</v>
      </c>
      <c r="G84" s="453" t="n">
        <f aca="false">O15</f>
        <v>6</v>
      </c>
      <c r="H84" s="453" t="n">
        <f aca="false">O16</f>
        <v>5</v>
      </c>
      <c r="I84" s="453" t="n">
        <f aca="false">O17</f>
        <v>2</v>
      </c>
      <c r="J84" s="528" t="n">
        <f aca="false">O8</f>
        <v>10.5384615384615</v>
      </c>
      <c r="K84" s="529" t="n">
        <f aca="false">O9</f>
        <v>3.52169942838757</v>
      </c>
      <c r="L84" s="530" t="n">
        <f aca="false">O10</f>
        <v>5</v>
      </c>
      <c r="M84" s="530" t="n">
        <f aca="false">O11</f>
        <v>18</v>
      </c>
      <c r="N84" s="529" t="n">
        <f aca="false">P8</f>
        <v>1.69230769230769</v>
      </c>
      <c r="O84" s="529" t="n">
        <f aca="false">P9</f>
        <v>0.72160242458822</v>
      </c>
      <c r="P84" s="530" t="n">
        <f aca="false">P10</f>
        <v>1</v>
      </c>
      <c r="Q84" s="530" t="n">
        <f aca="false">P11</f>
        <v>3</v>
      </c>
      <c r="R84" s="530" t="n">
        <f aca="false">F21</f>
        <v>7.4713</v>
      </c>
      <c r="S84" s="530" t="n">
        <f aca="false">L11</f>
        <v>0</v>
      </c>
      <c r="T84" s="530" t="n">
        <f aca="false">L12</f>
        <v>5</v>
      </c>
      <c r="U84" s="530" t="n">
        <f aca="false">L13</f>
        <v>7</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45</v>
      </c>
      <c r="U87" s="281"/>
      <c r="V87" s="281"/>
    </row>
    <row r="88" customFormat="false" ht="12.75" hidden="true" customHeight="false" outlineLevel="0" collapsed="false">
      <c r="C88" s="534"/>
      <c r="D88" s="534"/>
      <c r="E88" s="534"/>
      <c r="R88" s="281" t="s">
        <v>3453</v>
      </c>
      <c r="S88" s="281"/>
      <c r="T88" s="536" t="n">
        <f aca="false">VLOOKUP($T$91,($A$23:$U$82),21,0)</f>
        <v>90</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10.16</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$F$7&lt;&gt;"t00"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2017-02-20T09:52:22Z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